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tabRatio="867" activeTab="6"/>
  </bookViews>
  <sheets>
    <sheet name="Январь 2022" sheetId="1" r:id="rId1"/>
    <sheet name="Февраль 2022" sheetId="2" r:id="rId2"/>
    <sheet name="Март 2022" sheetId="3" r:id="rId3"/>
    <sheet name="Апрель 2022" sheetId="4" r:id="rId4"/>
    <sheet name="Май 2022" sheetId="5" r:id="rId5"/>
    <sheet name="Июнь 2022" sheetId="6" r:id="rId6"/>
    <sheet name="Июль 2022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I16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J16*87,2%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I18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J18*87,2%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J16*87,2%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J18*12,8%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G16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H16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G18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МиМ - K16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L16+M16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L18+M18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Д.Бузыкин</author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СВНЦМ ОЭМК 
Е14+F14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СВНЦМ ОЭМК G14 +
СВНЦМ Руслайм D12 +
СВНЦМ Прочие ЛГОК D14</t>
        </r>
        <r>
          <rPr>
            <sz val="9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9"/>
            <rFont val="Tahoma"/>
            <family val="2"/>
          </rPr>
          <t>СВНЦМ ОЭМК 
Е15+F15</t>
        </r>
        <r>
          <rPr>
            <sz val="9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9"/>
            <rFont val="Tahoma"/>
            <family val="2"/>
          </rPr>
          <t>СВНЦМ ОЭМК G15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СВНЦМ МиМ - Е16
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СВНЦМ МиМ - J16</t>
        </r>
        <r>
          <rPr>
            <sz val="9"/>
            <rFont val="Tahoma"/>
            <family val="2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СВНЦ МиМ K16*87,2%
87,2%</t>
        </r>
      </text>
    </comment>
    <comment ref="J16" authorId="0">
      <text>
        <r>
          <rPr>
            <b/>
            <sz val="9"/>
            <rFont val="Tahoma"/>
            <family val="2"/>
          </rPr>
          <t>СВНЦМ МиМ - J18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СВНЦ МиМ K18*87,2%
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СВНЦ МиМ K16*87,2%
12,8%</t>
        </r>
      </text>
    </comment>
    <comment ref="K18" authorId="0">
      <text>
        <r>
          <rPr>
            <b/>
            <sz val="9"/>
            <rFont val="Tahoma"/>
            <family val="2"/>
          </rPr>
          <t>СВНЦ МиМ K18*12,8%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 xml:space="preserve">СВНЦ МиМ - H16
</t>
        </r>
        <r>
          <rPr>
            <sz val="9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СВНЦ МиМ - I16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9"/>
            <rFont val="Tahoma"/>
            <family val="2"/>
          </rPr>
          <t>СВНЦ МиМ - H18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9"/>
            <rFont val="Tahoma"/>
            <family val="2"/>
          </rPr>
          <t>СВНЦ МиМ - I18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СВНЦ БСЗ - E-G14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СВНЦ МиМ - P16+Q16</t>
        </r>
        <r>
          <rPr>
            <sz val="9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9"/>
            <rFont val="Tahoma"/>
            <family val="2"/>
          </rPr>
          <t>СВНЦ МиМ - P18+Q18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<sst xmlns="http://schemas.openxmlformats.org/spreadsheetml/2006/main" count="396" uniqueCount="41">
  <si>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</si>
  <si>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</si>
  <si>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</si>
  <si>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</si>
  <si>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</si>
  <si>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</si>
  <si>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</si>
  <si>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</si>
  <si>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</si>
  <si>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</si>
  <si>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</si>
  <si>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</si>
  <si>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</si>
  <si>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Регион</t>
  </si>
  <si>
    <t>Курская обл.</t>
  </si>
  <si>
    <t>Белгородская обл.</t>
  </si>
  <si>
    <t>Оренбургская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</si>
  <si>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</si>
  <si>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</si>
  <si>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</si>
  <si>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</si>
  <si>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</si>
  <si>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</si>
  <si>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СН-2</t>
  </si>
  <si>
    <t>филиал ПАО "МРСК Волги" - "Оренбургэнерго"</t>
  </si>
  <si>
    <t>ООО "УКХ"</t>
  </si>
  <si>
    <t>ПАО "ОЭК"</t>
  </si>
  <si>
    <t>Объем фактического  полезного отпуска мощности по уровням напряжения, МВт.</t>
  </si>
  <si>
    <t>Нижегородская обл.</t>
  </si>
  <si>
    <t>ПАО "МРСК Центра и Приволжья Нижновэнерго"</t>
  </si>
  <si>
    <t>г. Санкт-Петербург</t>
  </si>
  <si>
    <t>ПАО "Россети Ленэнерго"</t>
  </si>
  <si>
    <t>Январь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</si>
  <si>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</si>
  <si>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</si>
  <si>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</si>
  <si>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</si>
  <si>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</si>
  <si>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</si>
  <si>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Забайкальский край</t>
  </si>
  <si>
    <t>ПАО "Россети Сибирь"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</si>
</sst>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#,##0.00000000"/>
    <numFmt numFmtId="181" formatCode="0.00000"/>
    <numFmt numFmtId="182" formatCode="#,##0.000000"/>
    <numFmt numFmtId="183" formatCode="0.000000"/>
    <numFmt numFmtId="184" formatCode="0.00000000"/>
    <numFmt numFmtId="185" formatCode="#,##0.0"/>
    <numFmt numFmtId="186" formatCode="dd/mm/yy;@"/>
    <numFmt numFmtId="187" formatCode="#,##0.0000000"/>
    <numFmt numFmtId="188" formatCode="0.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10" xfId="0" applyNumberFormat="1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4" fontId="46" fillId="0" borderId="13" xfId="0" applyNumberFormat="1" applyFont="1" applyBorder="1" applyAlignment="1">
      <alignment horizontal="left" vertical="center" wrapText="1"/>
    </xf>
    <xf numFmtId="4" fontId="46" fillId="0" borderId="14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4" fontId="46" fillId="0" borderId="15" xfId="0" applyNumberFormat="1" applyFont="1" applyBorder="1" applyAlignment="1">
      <alignment horizontal="left" vertical="center" wrapText="1"/>
    </xf>
    <xf numFmtId="172" fontId="46" fillId="0" borderId="1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6" fillId="0" borderId="16" xfId="0" applyNumberFormat="1" applyFont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7" fillId="0" borderId="17" xfId="0" applyFont="1" applyBorder="1" applyAlignment="1">
      <alignment horizontal="center" vertical="center"/>
    </xf>
    <xf numFmtId="0" fontId="46" fillId="0" borderId="18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173" fontId="46" fillId="33" borderId="19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/>
    </xf>
    <xf numFmtId="172" fontId="46" fillId="33" borderId="14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172" fontId="46" fillId="33" borderId="13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172" fontId="46" fillId="33" borderId="10" xfId="0" applyNumberFormat="1" applyFont="1" applyFill="1" applyBorder="1" applyAlignment="1">
      <alignment horizontal="center" vertical="center" wrapText="1"/>
    </xf>
    <xf numFmtId="172" fontId="46" fillId="33" borderId="16" xfId="0" applyNumberFormat="1" applyFont="1" applyFill="1" applyBorder="1" applyAlignment="1">
      <alignment horizontal="center" vertical="center" wrapText="1"/>
    </xf>
    <xf numFmtId="172" fontId="46" fillId="33" borderId="13" xfId="0" applyNumberFormat="1" applyFont="1" applyFill="1" applyBorder="1" applyAlignment="1">
      <alignment horizontal="center" vertical="center"/>
    </xf>
    <xf numFmtId="173" fontId="46" fillId="33" borderId="13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left" vertical="center" wrapText="1"/>
    </xf>
    <xf numFmtId="4" fontId="46" fillId="33" borderId="15" xfId="0" applyNumberFormat="1" applyFont="1" applyFill="1" applyBorder="1" applyAlignment="1">
      <alignment horizontal="left" vertical="center" wrapText="1"/>
    </xf>
    <xf numFmtId="172" fontId="46" fillId="33" borderId="21" xfId="0" applyNumberFormat="1" applyFont="1" applyFill="1" applyBorder="1" applyAlignment="1">
      <alignment horizontal="center" vertical="center" wrapText="1"/>
    </xf>
    <xf numFmtId="172" fontId="46" fillId="33" borderId="15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172" fontId="46" fillId="33" borderId="12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/>
    </xf>
    <xf numFmtId="172" fontId="46" fillId="33" borderId="14" xfId="0" applyNumberFormat="1" applyFont="1" applyFill="1" applyBorder="1" applyAlignment="1">
      <alignment horizontal="center" vertical="center"/>
    </xf>
    <xf numFmtId="173" fontId="46" fillId="33" borderId="14" xfId="0" applyNumberFormat="1" applyFont="1" applyFill="1" applyBorder="1" applyAlignment="1">
      <alignment horizontal="center" vertical="center"/>
    </xf>
    <xf numFmtId="173" fontId="46" fillId="33" borderId="18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35" borderId="14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left" vertical="center" wrapText="1"/>
    </xf>
    <xf numFmtId="0" fontId="46" fillId="33" borderId="21" xfId="0" applyNumberFormat="1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7" sqref="G7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32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0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5569.729</v>
      </c>
      <c r="E8" s="52">
        <v>4355.251</v>
      </c>
      <c r="F8" s="21"/>
      <c r="G8" s="21">
        <f>35.18+1074.599+104.699</f>
        <v>1214.478</v>
      </c>
      <c r="H8" s="21"/>
      <c r="I8" s="29">
        <f t="shared" si="1"/>
        <v>6.319999999999999</v>
      </c>
      <c r="J8" s="21">
        <v>6.265</v>
      </c>
      <c r="K8" s="22">
        <v>0.055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267.593</v>
      </c>
      <c r="E10" s="21">
        <v>48.497</v>
      </c>
      <c r="F10" s="21">
        <v>218.642</v>
      </c>
      <c r="G10" s="21">
        <v>0.454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603.8670000000001</v>
      </c>
      <c r="E14" s="21"/>
      <c r="F14" s="21"/>
      <c r="G14" s="53">
        <v>603.8670000000001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2971.8502399999998</v>
      </c>
      <c r="E16" s="52">
        <v>1581.734</v>
      </c>
      <c r="F16" s="21"/>
      <c r="G16" s="52">
        <f>1594.17*0.872</f>
        <v>1390.11624</v>
      </c>
      <c r="H16" s="21"/>
      <c r="I16" s="29">
        <f t="shared" si="1"/>
        <v>4.116</v>
      </c>
      <c r="J16" s="21">
        <v>2.21</v>
      </c>
      <c r="K16" s="54">
        <f>ROUND(2.186*0.872,3)</f>
        <v>1.906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204.05376</v>
      </c>
      <c r="E18" s="21"/>
      <c r="F18" s="21"/>
      <c r="G18" s="52">
        <f>1594.17*0.128</f>
        <v>204.05376</v>
      </c>
      <c r="H18" s="21"/>
      <c r="I18" s="29">
        <f t="shared" si="1"/>
        <v>0.28</v>
      </c>
      <c r="J18" s="21"/>
      <c r="K18" s="22">
        <f>ROUND(2.186*0.128,3)</f>
        <v>0.28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995.842</v>
      </c>
      <c r="E20" s="40">
        <v>886.169</v>
      </c>
      <c r="F20" s="24"/>
      <c r="G20" s="41">
        <v>109.673</v>
      </c>
      <c r="H20" s="24"/>
      <c r="I20" s="33">
        <f t="shared" si="1"/>
        <v>1.367</v>
      </c>
      <c r="J20" s="41">
        <v>1.211</v>
      </c>
      <c r="K20" s="25">
        <v>0.156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13421.005</v>
      </c>
      <c r="E22" s="40">
        <v>11442.668</v>
      </c>
      <c r="F22" s="24"/>
      <c r="G22" s="55">
        <v>1978.337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1229.669</v>
      </c>
      <c r="E24" s="40"/>
      <c r="F24" s="24"/>
      <c r="G24" s="40">
        <v>1229.669</v>
      </c>
      <c r="H24" s="24"/>
      <c r="I24" s="33">
        <f>SUM(J24:K24)</f>
        <v>1.711</v>
      </c>
      <c r="J24" s="41"/>
      <c r="K24" s="25">
        <v>1.711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G16" sqref="G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33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6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5675.718000000001</v>
      </c>
      <c r="E8" s="52">
        <v>4367.746</v>
      </c>
      <c r="F8" s="21"/>
      <c r="G8" s="21">
        <f>20.198+1188.881+98.893</f>
        <v>1307.9720000000002</v>
      </c>
      <c r="H8" s="21"/>
      <c r="I8" s="29">
        <f t="shared" si="1"/>
        <v>5.792999999999999</v>
      </c>
      <c r="J8" s="21">
        <v>5.754</v>
      </c>
      <c r="K8" s="22">
        <v>0.039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174.13</v>
      </c>
      <c r="E10" s="21">
        <v>0</v>
      </c>
      <c r="F10" s="21">
        <v>173.72</v>
      </c>
      <c r="G10" s="21">
        <v>0.41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555.082</v>
      </c>
      <c r="E14" s="21"/>
      <c r="F14" s="21"/>
      <c r="G14" s="53">
        <v>555.082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2746.182432</v>
      </c>
      <c r="E16" s="52">
        <v>1467.411</v>
      </c>
      <c r="F16" s="21"/>
      <c r="G16" s="52">
        <f>1466.481*0.872</f>
        <v>1278.771432</v>
      </c>
      <c r="H16" s="21"/>
      <c r="I16" s="29">
        <f t="shared" si="1"/>
        <v>4.197</v>
      </c>
      <c r="J16" s="21">
        <v>2.225</v>
      </c>
      <c r="K16" s="54">
        <f>ROUND(2.262*0.872,3)</f>
        <v>1.972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187.709568</v>
      </c>
      <c r="E18" s="21"/>
      <c r="F18" s="21"/>
      <c r="G18" s="52">
        <f>1466.481*0.128</f>
        <v>187.709568</v>
      </c>
      <c r="H18" s="21"/>
      <c r="I18" s="29">
        <f t="shared" si="1"/>
        <v>0.29</v>
      </c>
      <c r="J18" s="21"/>
      <c r="K18" s="22">
        <f>ROUND(2.262*0.128,3)</f>
        <v>0.29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983.742</v>
      </c>
      <c r="E20" s="40">
        <v>851.444</v>
      </c>
      <c r="F20" s="24"/>
      <c r="G20" s="41">
        <v>132.298</v>
      </c>
      <c r="H20" s="24"/>
      <c r="I20" s="33">
        <f t="shared" si="1"/>
        <v>1.535</v>
      </c>
      <c r="J20" s="41">
        <v>1.311</v>
      </c>
      <c r="K20" s="25">
        <v>0.224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13240.760999999999</v>
      </c>
      <c r="E22" s="40">
        <v>11253.533</v>
      </c>
      <c r="F22" s="24"/>
      <c r="G22" s="55">
        <v>1987.228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1112.09</v>
      </c>
      <c r="E24" s="40"/>
      <c r="F24" s="24"/>
      <c r="G24" s="40">
        <v>1112.09</v>
      </c>
      <c r="H24" s="24"/>
      <c r="I24" s="33">
        <f>SUM(J24:K24)</f>
        <v>1.699</v>
      </c>
      <c r="J24" s="41"/>
      <c r="K24" s="25">
        <v>1.699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E11" sqref="E11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34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7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5517.246999999999</v>
      </c>
      <c r="E8" s="52">
        <v>4102.54</v>
      </c>
      <c r="F8" s="21"/>
      <c r="G8" s="21">
        <f>27.418+1278.809+98.666+9.814</f>
        <v>1414.7069999999999</v>
      </c>
      <c r="H8" s="21"/>
      <c r="I8" s="29">
        <f t="shared" si="1"/>
        <v>6.23</v>
      </c>
      <c r="J8" s="21">
        <v>6.182</v>
      </c>
      <c r="K8" s="22">
        <v>0.048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1986.895</v>
      </c>
      <c r="E10" s="21">
        <v>1786.31</v>
      </c>
      <c r="F10" s="21">
        <v>199.455</v>
      </c>
      <c r="G10" s="21">
        <v>1.13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616.678</v>
      </c>
      <c r="E14" s="21"/>
      <c r="F14" s="21"/>
      <c r="G14" s="53">
        <v>616.678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3079.3441199999997</v>
      </c>
      <c r="E16" s="52">
        <v>1647.664</v>
      </c>
      <c r="F16" s="21"/>
      <c r="G16" s="52">
        <f>1641.835*0.872</f>
        <v>1431.68012</v>
      </c>
      <c r="H16" s="21"/>
      <c r="I16" s="29">
        <f t="shared" si="1"/>
        <v>4.29</v>
      </c>
      <c r="J16" s="21">
        <v>2.266</v>
      </c>
      <c r="K16" s="54">
        <f>ROUND(2.321*0.872,3)</f>
        <v>2.024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210.15488000000002</v>
      </c>
      <c r="E18" s="21"/>
      <c r="F18" s="21"/>
      <c r="G18" s="52">
        <f>1641.835*0.128</f>
        <v>210.15488000000002</v>
      </c>
      <c r="H18" s="21"/>
      <c r="I18" s="29">
        <f t="shared" si="1"/>
        <v>0.297</v>
      </c>
      <c r="J18" s="21"/>
      <c r="K18" s="22">
        <f>ROUND(2.321*0.128,3)</f>
        <v>0.297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1074.823</v>
      </c>
      <c r="E20" s="40">
        <v>939.394</v>
      </c>
      <c r="F20" s="24"/>
      <c r="G20" s="41">
        <v>135.429</v>
      </c>
      <c r="H20" s="24"/>
      <c r="I20" s="33">
        <f t="shared" si="1"/>
        <v>1.574</v>
      </c>
      <c r="J20" s="41">
        <v>1.341</v>
      </c>
      <c r="K20" s="25">
        <v>0.233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12710.624</v>
      </c>
      <c r="E22" s="40">
        <v>10965.302</v>
      </c>
      <c r="F22" s="24"/>
      <c r="G22" s="55">
        <v>1745.3220000000001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1210.667</v>
      </c>
      <c r="E24" s="40"/>
      <c r="F24" s="24"/>
      <c r="G24" s="40">
        <v>1210.667</v>
      </c>
      <c r="H24" s="24"/>
      <c r="I24" s="33">
        <f>SUM(J24:K24)</f>
        <v>1.706</v>
      </c>
      <c r="J24" s="41"/>
      <c r="K24" s="25">
        <v>1.706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D16" sqref="D16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35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8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6067.347</v>
      </c>
      <c r="E8" s="52">
        <v>4693.503</v>
      </c>
      <c r="F8" s="21"/>
      <c r="G8" s="21">
        <f>27.743+1249.103+81.779+7.581+7.638</f>
        <v>1373.8439999999998</v>
      </c>
      <c r="H8" s="21"/>
      <c r="I8" s="29">
        <f t="shared" si="1"/>
        <v>7.380000000000001</v>
      </c>
      <c r="J8" s="21">
        <v>7.331</v>
      </c>
      <c r="K8" s="22">
        <v>0.049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5514.547</v>
      </c>
      <c r="E10" s="21">
        <v>5375.766</v>
      </c>
      <c r="F10" s="21">
        <v>135.33</v>
      </c>
      <c r="G10" s="21">
        <v>3.451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585.623</v>
      </c>
      <c r="E14" s="21"/>
      <c r="F14" s="21"/>
      <c r="G14" s="53">
        <v>585.623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3056.850096</v>
      </c>
      <c r="E16" s="52">
        <v>1610.448</v>
      </c>
      <c r="F16" s="21"/>
      <c r="G16" s="52">
        <f>1658.718*0.872</f>
        <v>1446.402096</v>
      </c>
      <c r="H16" s="21"/>
      <c r="I16" s="29">
        <f t="shared" si="1"/>
        <v>4.393</v>
      </c>
      <c r="J16" s="21">
        <v>2.296</v>
      </c>
      <c r="K16" s="54">
        <f>ROUND(2.405*0.872,3)</f>
        <v>2.097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212.31590400000002</v>
      </c>
      <c r="E18" s="21"/>
      <c r="F18" s="21"/>
      <c r="G18" s="52">
        <f>1658.718*0.128</f>
        <v>212.31590400000002</v>
      </c>
      <c r="H18" s="21"/>
      <c r="I18" s="29">
        <f t="shared" si="1"/>
        <v>0.308</v>
      </c>
      <c r="J18" s="21"/>
      <c r="K18" s="22">
        <f>ROUND(2.405*0.128,3)</f>
        <v>0.308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1160.366</v>
      </c>
      <c r="E20" s="40">
        <v>1007.478</v>
      </c>
      <c r="F20" s="24"/>
      <c r="G20" s="41">
        <v>152.88799999999998</v>
      </c>
      <c r="H20" s="24"/>
      <c r="I20" s="33">
        <f t="shared" si="1"/>
        <v>1.693</v>
      </c>
      <c r="J20" s="41">
        <v>1.46</v>
      </c>
      <c r="K20" s="25">
        <v>0.233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11072.937</v>
      </c>
      <c r="E22" s="40">
        <v>9409.428</v>
      </c>
      <c r="F22" s="24"/>
      <c r="G22" s="55">
        <v>1663.509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1182.839</v>
      </c>
      <c r="E24" s="40"/>
      <c r="F24" s="24"/>
      <c r="G24" s="40">
        <v>1182.839</v>
      </c>
      <c r="H24" s="24"/>
      <c r="I24" s="33">
        <f>SUM(J24:K24)</f>
        <v>1.704</v>
      </c>
      <c r="J24" s="41"/>
      <c r="K24" s="25">
        <v>1.704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A2" sqref="A2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36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59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7"/>
      <c r="F6" s="7"/>
      <c r="G6" s="51">
        <v>0</v>
      </c>
      <c r="H6" s="8"/>
      <c r="I6" s="10">
        <f aca="true" t="shared" si="1" ref="I6:I21">SUM(J6:K6)</f>
        <v>0</v>
      </c>
      <c r="J6" s="11"/>
      <c r="K6" s="20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7736.15</v>
      </c>
      <c r="E8" s="52">
        <v>6314.758</v>
      </c>
      <c r="F8" s="21"/>
      <c r="G8" s="21">
        <f>25.306+1299.335+76.881+12.294+7.576</f>
        <v>1421.3920000000003</v>
      </c>
      <c r="H8" s="21"/>
      <c r="I8" s="29">
        <f t="shared" si="1"/>
        <v>11.375</v>
      </c>
      <c r="J8" s="21">
        <v>11.335</v>
      </c>
      <c r="K8" s="22">
        <v>0.04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14160.456</v>
      </c>
      <c r="E10" s="21">
        <v>14024.881</v>
      </c>
      <c r="F10" s="21">
        <v>132.065</v>
      </c>
      <c r="G10" s="21">
        <v>3.51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607.376</v>
      </c>
      <c r="E14" s="21"/>
      <c r="F14" s="21"/>
      <c r="G14" s="53">
        <v>607.376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3208.5065999999997</v>
      </c>
      <c r="E16" s="52">
        <v>1675.378</v>
      </c>
      <c r="F16" s="21"/>
      <c r="G16" s="52">
        <f>1758.175*0.872</f>
        <v>1533.1286</v>
      </c>
      <c r="H16" s="21"/>
      <c r="I16" s="29">
        <f t="shared" si="1"/>
        <v>4.45</v>
      </c>
      <c r="J16" s="21">
        <v>2.326</v>
      </c>
      <c r="K16" s="54">
        <f>ROUND(2.436*0.872,3)</f>
        <v>2.124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225.0464</v>
      </c>
      <c r="E18" s="21"/>
      <c r="F18" s="21"/>
      <c r="G18" s="52">
        <f>1758.175*0.128</f>
        <v>225.0464</v>
      </c>
      <c r="H18" s="21"/>
      <c r="I18" s="29">
        <f t="shared" si="1"/>
        <v>0.312</v>
      </c>
      <c r="J18" s="21"/>
      <c r="K18" s="22">
        <f>ROUND(2.436*0.128,3)</f>
        <v>0.312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1237.8506</v>
      </c>
      <c r="E20" s="40">
        <v>1016.9556</v>
      </c>
      <c r="F20" s="24"/>
      <c r="G20" s="41">
        <v>220.89499999999998</v>
      </c>
      <c r="H20" s="24"/>
      <c r="I20" s="33">
        <f t="shared" si="1"/>
        <v>1.698</v>
      </c>
      <c r="J20" s="41">
        <v>1.402</v>
      </c>
      <c r="K20" s="25">
        <v>0.296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10329.369</v>
      </c>
      <c r="E22" s="40">
        <v>8775.733</v>
      </c>
      <c r="F22" s="24"/>
      <c r="G22" s="55">
        <v>1553.636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1226.787</v>
      </c>
      <c r="E24" s="40"/>
      <c r="F24" s="24"/>
      <c r="G24" s="40">
        <v>1226.787</v>
      </c>
      <c r="H24" s="24"/>
      <c r="I24" s="33">
        <f>SUM(J24:K24)</f>
        <v>1.749</v>
      </c>
      <c r="J24" s="41"/>
      <c r="K24" s="25">
        <v>1.749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zoomScale="85" zoomScaleNormal="85" zoomScalePageLayoutView="0" workbookViewId="0" topLeftCell="A1">
      <selection activeCell="K25" sqref="D6:K25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37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60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5656.633</v>
      </c>
      <c r="E8" s="52">
        <v>4445.345</v>
      </c>
      <c r="F8" s="21"/>
      <c r="G8" s="21">
        <f>35.04+1086.654+76.443+8.227+4.924</f>
        <v>1211.288</v>
      </c>
      <c r="H8" s="21"/>
      <c r="I8" s="29">
        <f t="shared" si="1"/>
        <v>6.79</v>
      </c>
      <c r="J8" s="21">
        <v>6.718</v>
      </c>
      <c r="K8" s="22">
        <v>0.072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9238.189999999999</v>
      </c>
      <c r="E10" s="21">
        <v>9063.81</v>
      </c>
      <c r="F10" s="21">
        <v>167.75</v>
      </c>
      <c r="G10" s="21">
        <v>6.63</v>
      </c>
      <c r="H10" s="21">
        <v>0</v>
      </c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610.2350000000001</v>
      </c>
      <c r="E14" s="21"/>
      <c r="F14" s="21"/>
      <c r="G14" s="53">
        <v>610.2350000000001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3304.19064</v>
      </c>
      <c r="E16" s="52">
        <v>1724.022</v>
      </c>
      <c r="F16" s="21"/>
      <c r="G16" s="52">
        <f>1812.12*0.872</f>
        <v>1580.1686399999999</v>
      </c>
      <c r="H16" s="21"/>
      <c r="I16" s="29">
        <f t="shared" si="1"/>
        <v>4.7059999999999995</v>
      </c>
      <c r="J16" s="21">
        <v>2.491</v>
      </c>
      <c r="K16" s="54">
        <f>ROUND(2.54*0.872,3)</f>
        <v>2.215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231.95136</v>
      </c>
      <c r="E18" s="21"/>
      <c r="F18" s="21"/>
      <c r="G18" s="52">
        <f>1812.12*0.128</f>
        <v>231.95136</v>
      </c>
      <c r="H18" s="21"/>
      <c r="I18" s="29">
        <f t="shared" si="1"/>
        <v>0.325</v>
      </c>
      <c r="J18" s="21"/>
      <c r="K18" s="22">
        <f>ROUND(2.54*0.128,3)</f>
        <v>0.325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1245.807</v>
      </c>
      <c r="E20" s="40">
        <v>1007.093</v>
      </c>
      <c r="F20" s="24"/>
      <c r="G20" s="41">
        <v>238.714</v>
      </c>
      <c r="H20" s="24"/>
      <c r="I20" s="33">
        <f t="shared" si="1"/>
        <v>1.83</v>
      </c>
      <c r="J20" s="41">
        <v>1.466</v>
      </c>
      <c r="K20" s="25">
        <v>0.364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11023.427</v>
      </c>
      <c r="E22" s="40">
        <v>9353.666</v>
      </c>
      <c r="F22" s="24"/>
      <c r="G22" s="55">
        <v>1669.761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1219.374</v>
      </c>
      <c r="E24" s="40"/>
      <c r="F24" s="24"/>
      <c r="G24" s="40">
        <v>1219.374</v>
      </c>
      <c r="H24" s="24"/>
      <c r="I24" s="33">
        <f>SUM(J24:K24)</f>
        <v>1.761</v>
      </c>
      <c r="J24" s="41"/>
      <c r="K24" s="25">
        <v>1.761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7" ht="15">
      <c r="F27" s="37"/>
    </row>
  </sheetData>
  <sheetProtection/>
  <mergeCells count="29"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6:A7"/>
    <mergeCell ref="B6:B7"/>
    <mergeCell ref="A8:A9"/>
    <mergeCell ref="B8:B9"/>
    <mergeCell ref="A10:A13"/>
    <mergeCell ref="B10:B11"/>
    <mergeCell ref="B12:B13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7"/>
  <sheetViews>
    <sheetView tabSelected="1" zoomScale="85" zoomScaleNormal="85" zoomScalePageLayoutView="0" workbookViewId="0" topLeftCell="A4">
      <selection activeCell="B31" sqref="B31"/>
    </sheetView>
  </sheetViews>
  <sheetFormatPr defaultColWidth="8.8515625" defaultRowHeight="15"/>
  <cols>
    <col min="1" max="1" width="19.710937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1" spans="1:11" ht="44.25" customHeigh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25.5" customHeight="1" thickBot="1">
      <c r="A2" s="28" t="s">
        <v>38</v>
      </c>
      <c r="B2" s="12"/>
      <c r="C2" s="13"/>
      <c r="D2" s="13"/>
      <c r="E2" s="14"/>
      <c r="F2" s="14"/>
      <c r="G2" s="14"/>
      <c r="H2" s="14"/>
      <c r="I2" s="14"/>
      <c r="J2" s="14"/>
      <c r="K2" s="15"/>
    </row>
    <row r="3" spans="1:11" ht="49.5" customHeight="1">
      <c r="A3" s="90" t="s">
        <v>13</v>
      </c>
      <c r="B3" s="93" t="s">
        <v>6</v>
      </c>
      <c r="C3" s="93" t="s">
        <v>8</v>
      </c>
      <c r="D3" s="96" t="s">
        <v>7</v>
      </c>
      <c r="E3" s="97"/>
      <c r="F3" s="97"/>
      <c r="G3" s="97"/>
      <c r="H3" s="98"/>
      <c r="I3" s="96" t="s">
        <v>27</v>
      </c>
      <c r="J3" s="97"/>
      <c r="K3" s="99"/>
    </row>
    <row r="4" spans="1:11" ht="18.75" customHeight="1">
      <c r="A4" s="91"/>
      <c r="B4" s="94"/>
      <c r="C4" s="94"/>
      <c r="D4" s="100" t="s">
        <v>10</v>
      </c>
      <c r="E4" s="102" t="s">
        <v>11</v>
      </c>
      <c r="F4" s="103"/>
      <c r="G4" s="104"/>
      <c r="H4" s="61"/>
      <c r="I4" s="105" t="s">
        <v>10</v>
      </c>
      <c r="J4" s="105" t="s">
        <v>11</v>
      </c>
      <c r="K4" s="107"/>
    </row>
    <row r="5" spans="1:11" ht="19.5" customHeight="1" thickBot="1">
      <c r="A5" s="92"/>
      <c r="B5" s="95"/>
      <c r="C5" s="95"/>
      <c r="D5" s="101"/>
      <c r="E5" s="3" t="s">
        <v>0</v>
      </c>
      <c r="F5" s="3" t="s">
        <v>9</v>
      </c>
      <c r="G5" s="4" t="s">
        <v>1</v>
      </c>
      <c r="H5" s="4" t="s">
        <v>2</v>
      </c>
      <c r="I5" s="106"/>
      <c r="J5" s="16" t="s">
        <v>0</v>
      </c>
      <c r="K5" s="19" t="s">
        <v>23</v>
      </c>
    </row>
    <row r="6" spans="1:11" ht="19.5" customHeight="1">
      <c r="A6" s="77" t="s">
        <v>14</v>
      </c>
      <c r="B6" s="74" t="s">
        <v>12</v>
      </c>
      <c r="C6" s="6" t="s">
        <v>3</v>
      </c>
      <c r="D6" s="29">
        <f aca="true" t="shared" si="0" ref="D6:D23">SUM(E6:H6)</f>
        <v>0</v>
      </c>
      <c r="E6" s="52"/>
      <c r="F6" s="52"/>
      <c r="G6" s="51">
        <v>0</v>
      </c>
      <c r="H6" s="51"/>
      <c r="I6" s="29">
        <f aca="true" t="shared" si="1" ref="I6:I21">SUM(J6:K6)</f>
        <v>0</v>
      </c>
      <c r="J6" s="62"/>
      <c r="K6" s="63"/>
    </row>
    <row r="7" spans="1:11" ht="33.75" customHeight="1" thickBot="1">
      <c r="A7" s="78"/>
      <c r="B7" s="75"/>
      <c r="C7" s="9" t="s">
        <v>4</v>
      </c>
      <c r="D7" s="30">
        <f t="shared" si="0"/>
        <v>0</v>
      </c>
      <c r="E7" s="45"/>
      <c r="F7" s="45"/>
      <c r="G7" s="45"/>
      <c r="H7" s="47"/>
      <c r="I7" s="33">
        <f t="shared" si="1"/>
        <v>0</v>
      </c>
      <c r="J7" s="48"/>
      <c r="K7" s="49"/>
    </row>
    <row r="8" spans="1:11" ht="18.75" customHeight="1">
      <c r="A8" s="77" t="s">
        <v>15</v>
      </c>
      <c r="B8" s="74" t="s">
        <v>20</v>
      </c>
      <c r="C8" s="6" t="s">
        <v>3</v>
      </c>
      <c r="D8" s="29">
        <f t="shared" si="0"/>
        <v>6768.114</v>
      </c>
      <c r="E8" s="52">
        <v>5501.213</v>
      </c>
      <c r="F8" s="21"/>
      <c r="G8" s="21">
        <f>38.861+1147.383+80.657</f>
        <v>1266.901</v>
      </c>
      <c r="H8" s="21"/>
      <c r="I8" s="29">
        <f t="shared" si="1"/>
        <v>8.148</v>
      </c>
      <c r="J8" s="21">
        <v>8.068</v>
      </c>
      <c r="K8" s="22">
        <v>0.08</v>
      </c>
    </row>
    <row r="9" spans="1:11" ht="32.25" customHeight="1" thickBot="1">
      <c r="A9" s="81"/>
      <c r="B9" s="82"/>
      <c r="C9" s="17" t="s">
        <v>4</v>
      </c>
      <c r="D9" s="30">
        <f t="shared" si="0"/>
        <v>0</v>
      </c>
      <c r="E9" s="35"/>
      <c r="F9" s="35"/>
      <c r="G9" s="35"/>
      <c r="H9" s="34"/>
      <c r="I9" s="36">
        <f t="shared" si="1"/>
        <v>0</v>
      </c>
      <c r="J9" s="35"/>
      <c r="K9" s="23"/>
    </row>
    <row r="10" spans="1:11" ht="18.75" customHeight="1">
      <c r="A10" s="77" t="s">
        <v>16</v>
      </c>
      <c r="B10" s="84" t="s">
        <v>24</v>
      </c>
      <c r="C10" s="6" t="s">
        <v>3</v>
      </c>
      <c r="D10" s="29">
        <f>SUM(E10:H10)</f>
        <v>0</v>
      </c>
      <c r="E10" s="64"/>
      <c r="F10" s="64"/>
      <c r="G10" s="64"/>
      <c r="H10" s="64"/>
      <c r="I10" s="29">
        <f t="shared" si="1"/>
        <v>0</v>
      </c>
      <c r="J10" s="21"/>
      <c r="K10" s="22"/>
    </row>
    <row r="11" spans="1:13" ht="33.75" customHeight="1">
      <c r="A11" s="83"/>
      <c r="B11" s="85"/>
      <c r="C11" s="2" t="s">
        <v>4</v>
      </c>
      <c r="D11" s="38">
        <f t="shared" si="0"/>
        <v>0</v>
      </c>
      <c r="E11" s="26"/>
      <c r="F11" s="26"/>
      <c r="G11" s="26"/>
      <c r="H11" s="26"/>
      <c r="I11" s="38">
        <f t="shared" si="1"/>
        <v>0</v>
      </c>
      <c r="J11" s="26"/>
      <c r="K11" s="46"/>
      <c r="M11" s="18"/>
    </row>
    <row r="12" spans="1:11" ht="24" customHeight="1">
      <c r="A12" s="83"/>
      <c r="B12" s="86" t="s">
        <v>25</v>
      </c>
      <c r="C12" s="2" t="s">
        <v>3</v>
      </c>
      <c r="D12" s="33">
        <f>SUM(E12:H12)</f>
        <v>0</v>
      </c>
      <c r="E12" s="26"/>
      <c r="F12" s="26"/>
      <c r="G12" s="26"/>
      <c r="H12" s="26"/>
      <c r="I12" s="38">
        <f t="shared" si="1"/>
        <v>0</v>
      </c>
      <c r="J12" s="26"/>
      <c r="K12" s="46"/>
    </row>
    <row r="13" spans="1:11" ht="35.25" customHeight="1" thickBot="1">
      <c r="A13" s="78"/>
      <c r="B13" s="68"/>
      <c r="C13" s="9" t="s">
        <v>4</v>
      </c>
      <c r="D13" s="30">
        <f t="shared" si="0"/>
        <v>0</v>
      </c>
      <c r="E13" s="27"/>
      <c r="F13" s="27"/>
      <c r="G13" s="27"/>
      <c r="H13" s="27"/>
      <c r="I13" s="30">
        <f>SUM(J13:K13)</f>
        <v>0</v>
      </c>
      <c r="J13" s="27"/>
      <c r="K13" s="32"/>
    </row>
    <row r="14" spans="1:11" ht="20.25" customHeight="1">
      <c r="A14" s="73" t="s">
        <v>17</v>
      </c>
      <c r="B14" s="74" t="s">
        <v>21</v>
      </c>
      <c r="C14" s="6" t="s">
        <v>3</v>
      </c>
      <c r="D14" s="29">
        <f t="shared" si="0"/>
        <v>642.431</v>
      </c>
      <c r="E14" s="21"/>
      <c r="F14" s="21"/>
      <c r="G14" s="53">
        <v>642.431</v>
      </c>
      <c r="H14" s="21"/>
      <c r="I14" s="29">
        <f t="shared" si="1"/>
        <v>0</v>
      </c>
      <c r="J14" s="21"/>
      <c r="K14" s="22"/>
    </row>
    <row r="15" spans="1:11" ht="33.75" customHeight="1" thickBot="1">
      <c r="A15" s="66"/>
      <c r="B15" s="75"/>
      <c r="C15" s="9" t="s">
        <v>4</v>
      </c>
      <c r="D15" s="30">
        <f t="shared" si="0"/>
        <v>0</v>
      </c>
      <c r="E15" s="27"/>
      <c r="F15" s="27"/>
      <c r="G15" s="27"/>
      <c r="H15" s="34"/>
      <c r="I15" s="33">
        <f t="shared" si="1"/>
        <v>0</v>
      </c>
      <c r="J15" s="27"/>
      <c r="K15" s="32"/>
    </row>
    <row r="16" spans="1:11" ht="19.5" customHeight="1">
      <c r="A16" s="73" t="s">
        <v>18</v>
      </c>
      <c r="B16" s="76" t="s">
        <v>22</v>
      </c>
      <c r="C16" s="6" t="s">
        <v>3</v>
      </c>
      <c r="D16" s="29">
        <f t="shared" si="0"/>
        <v>3474.830848</v>
      </c>
      <c r="E16" s="52">
        <v>1824.563</v>
      </c>
      <c r="F16" s="21"/>
      <c r="G16" s="52">
        <f>1892.509*0.872</f>
        <v>1650.267848</v>
      </c>
      <c r="H16" s="21"/>
      <c r="I16" s="29">
        <f t="shared" si="1"/>
        <v>4.896</v>
      </c>
      <c r="J16" s="21">
        <v>2.568</v>
      </c>
      <c r="K16" s="54">
        <f>ROUND(2.67*0.872,3)</f>
        <v>2.328</v>
      </c>
    </row>
    <row r="17" spans="1:11" ht="33.75" customHeight="1" thickBot="1">
      <c r="A17" s="65"/>
      <c r="B17" s="67"/>
      <c r="C17" s="17" t="s">
        <v>4</v>
      </c>
      <c r="D17" s="39">
        <f t="shared" si="0"/>
        <v>0</v>
      </c>
      <c r="E17" s="35"/>
      <c r="F17" s="35"/>
      <c r="G17" s="35"/>
      <c r="H17" s="34"/>
      <c r="I17" s="36">
        <f t="shared" si="1"/>
        <v>0</v>
      </c>
      <c r="J17" s="35"/>
      <c r="K17" s="23"/>
    </row>
    <row r="18" spans="1:11" ht="20.25" customHeight="1">
      <c r="A18" s="77" t="s">
        <v>18</v>
      </c>
      <c r="B18" s="79" t="s">
        <v>26</v>
      </c>
      <c r="C18" s="6" t="s">
        <v>3</v>
      </c>
      <c r="D18" s="29">
        <f t="shared" si="0"/>
        <v>242.241152</v>
      </c>
      <c r="E18" s="21"/>
      <c r="F18" s="21"/>
      <c r="G18" s="52">
        <f>1892.509*0.128</f>
        <v>242.241152</v>
      </c>
      <c r="H18" s="21"/>
      <c r="I18" s="29">
        <f t="shared" si="1"/>
        <v>0.342</v>
      </c>
      <c r="J18" s="21"/>
      <c r="K18" s="22">
        <f>ROUND(2.67*0.128,3)</f>
        <v>0.342</v>
      </c>
    </row>
    <row r="19" spans="1:11" ht="32.25" customHeight="1" thickBot="1">
      <c r="A19" s="78"/>
      <c r="B19" s="80"/>
      <c r="C19" s="9" t="s">
        <v>4</v>
      </c>
      <c r="D19" s="30">
        <f t="shared" si="0"/>
        <v>0</v>
      </c>
      <c r="E19" s="27"/>
      <c r="F19" s="27"/>
      <c r="G19" s="27"/>
      <c r="H19" s="27"/>
      <c r="I19" s="30">
        <f t="shared" si="1"/>
        <v>0</v>
      </c>
      <c r="J19" s="27"/>
      <c r="K19" s="32"/>
    </row>
    <row r="20" spans="1:11" ht="21" customHeight="1">
      <c r="A20" s="65" t="s">
        <v>19</v>
      </c>
      <c r="B20" s="67" t="s">
        <v>22</v>
      </c>
      <c r="C20" s="5" t="s">
        <v>3</v>
      </c>
      <c r="D20" s="33">
        <f t="shared" si="0"/>
        <v>1291.0300000000002</v>
      </c>
      <c r="E20" s="40">
        <v>1038.871</v>
      </c>
      <c r="F20" s="24"/>
      <c r="G20" s="41">
        <v>252.159</v>
      </c>
      <c r="H20" s="24"/>
      <c r="I20" s="33">
        <f t="shared" si="1"/>
        <v>1.823</v>
      </c>
      <c r="J20" s="41">
        <v>1.459</v>
      </c>
      <c r="K20" s="25">
        <v>0.364</v>
      </c>
    </row>
    <row r="21" spans="1:11" ht="30" customHeight="1" thickBot="1">
      <c r="A21" s="66"/>
      <c r="B21" s="68"/>
      <c r="C21" s="9" t="s">
        <v>4</v>
      </c>
      <c r="D21" s="30">
        <f t="shared" si="0"/>
        <v>0</v>
      </c>
      <c r="E21" s="27"/>
      <c r="F21" s="27"/>
      <c r="G21" s="27"/>
      <c r="H21" s="31"/>
      <c r="I21" s="44">
        <f t="shared" si="1"/>
        <v>0</v>
      </c>
      <c r="J21" s="27"/>
      <c r="K21" s="32"/>
    </row>
    <row r="22" spans="1:11" ht="21" customHeight="1">
      <c r="A22" s="69" t="s">
        <v>28</v>
      </c>
      <c r="B22" s="71" t="s">
        <v>29</v>
      </c>
      <c r="C22" s="5" t="s">
        <v>3</v>
      </c>
      <c r="D22" s="33">
        <f t="shared" si="0"/>
        <v>9939.596</v>
      </c>
      <c r="E22" s="40">
        <v>8252.944</v>
      </c>
      <c r="F22" s="24"/>
      <c r="G22" s="55">
        <v>1686.652</v>
      </c>
      <c r="H22" s="24"/>
      <c r="I22" s="33">
        <f>SUM(J22:K22)</f>
        <v>0</v>
      </c>
      <c r="J22" s="41"/>
      <c r="K22" s="25"/>
    </row>
    <row r="23" spans="1:11" ht="30.75" customHeight="1" thickBot="1">
      <c r="A23" s="70"/>
      <c r="B23" s="72"/>
      <c r="C23" s="9" t="s">
        <v>4</v>
      </c>
      <c r="D23" s="30">
        <f t="shared" si="0"/>
        <v>0</v>
      </c>
      <c r="E23" s="27"/>
      <c r="F23" s="27"/>
      <c r="G23" s="27"/>
      <c r="H23" s="31"/>
      <c r="I23" s="44">
        <f>SUM(J23:K23)</f>
        <v>0</v>
      </c>
      <c r="J23" s="27"/>
      <c r="K23" s="32"/>
    </row>
    <row r="24" spans="1:11" ht="21" customHeight="1">
      <c r="A24" s="69" t="s">
        <v>30</v>
      </c>
      <c r="B24" s="71" t="s">
        <v>31</v>
      </c>
      <c r="C24" s="42" t="s">
        <v>3</v>
      </c>
      <c r="D24" s="33">
        <f>SUM(E24:H24)</f>
        <v>1282.656</v>
      </c>
      <c r="E24" s="40"/>
      <c r="F24" s="24"/>
      <c r="G24" s="40">
        <v>1282.656</v>
      </c>
      <c r="H24" s="24"/>
      <c r="I24" s="33">
        <f>SUM(J24:K24)</f>
        <v>1.811</v>
      </c>
      <c r="J24" s="41"/>
      <c r="K24" s="25">
        <v>1.811</v>
      </c>
    </row>
    <row r="25" spans="1:11" ht="30.75" customHeight="1" thickBot="1">
      <c r="A25" s="70"/>
      <c r="B25" s="72"/>
      <c r="C25" s="43" t="s">
        <v>4</v>
      </c>
      <c r="D25" s="30">
        <f>SUM(E25:H25)</f>
        <v>0</v>
      </c>
      <c r="E25" s="27"/>
      <c r="F25" s="27"/>
      <c r="G25" s="27"/>
      <c r="H25" s="31"/>
      <c r="I25" s="44">
        <f>SUM(J25:K25)</f>
        <v>0</v>
      </c>
      <c r="J25" s="27"/>
      <c r="K25" s="32"/>
    </row>
    <row r="26" spans="1:11" ht="21" customHeight="1">
      <c r="A26" s="69" t="s">
        <v>39</v>
      </c>
      <c r="B26" s="71" t="s">
        <v>40</v>
      </c>
      <c r="C26" s="42" t="s">
        <v>3</v>
      </c>
      <c r="D26" s="33">
        <f>SUM(E26:H26)</f>
        <v>0</v>
      </c>
      <c r="E26" s="40"/>
      <c r="F26" s="24"/>
      <c r="G26" s="40"/>
      <c r="H26" s="24"/>
      <c r="I26" s="33">
        <f>SUM(J26:K26)</f>
        <v>0</v>
      </c>
      <c r="J26" s="41"/>
      <c r="K26" s="25"/>
    </row>
    <row r="27" spans="1:11" ht="30.75" customHeight="1" thickBot="1">
      <c r="A27" s="70"/>
      <c r="B27" s="72"/>
      <c r="C27" s="43" t="s">
        <v>4</v>
      </c>
      <c r="D27" s="30">
        <f>SUM(E27:H27)</f>
        <v>0</v>
      </c>
      <c r="E27" s="27"/>
      <c r="F27" s="27"/>
      <c r="G27" s="27"/>
      <c r="H27" s="31"/>
      <c r="I27" s="44">
        <f>SUM(J27:K27)</f>
        <v>0</v>
      </c>
      <c r="J27" s="27"/>
      <c r="K27" s="32"/>
    </row>
  </sheetData>
  <sheetProtection/>
  <mergeCells count="31">
    <mergeCell ref="A26:A27"/>
    <mergeCell ref="B26:B27"/>
    <mergeCell ref="A1:K1"/>
    <mergeCell ref="A3:A5"/>
    <mergeCell ref="B3:B5"/>
    <mergeCell ref="C3:C5"/>
    <mergeCell ref="D3:H3"/>
    <mergeCell ref="I3:K3"/>
    <mergeCell ref="D4:D5"/>
    <mergeCell ref="E4:G4"/>
    <mergeCell ref="I4:I5"/>
    <mergeCell ref="J4:K4"/>
    <mergeCell ref="A6:A7"/>
    <mergeCell ref="B6:B7"/>
    <mergeCell ref="A8:A9"/>
    <mergeCell ref="B8:B9"/>
    <mergeCell ref="A10:A13"/>
    <mergeCell ref="B10:B11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</mergeCells>
  <printOptions horizontalCentered="1"/>
  <pageMargins left="0.5118110236220472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2020-03-05T11:11:30Z</cp:lastPrinted>
  <dcterms:created xsi:type="dcterms:W3CDTF">2010-10-28T06:49:01Z</dcterms:created>
  <dcterms:modified xsi:type="dcterms:W3CDTF">2022-08-03T07:01:05Z</dcterms:modified>
  <cp:category/>
  <cp:version/>
  <cp:contentType/>
  <cp:contentStatus/>
</cp:coreProperties>
</file>