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3085" windowHeight="4530" tabRatio="867" firstSheet="4" activeTab="11"/>
  </bookViews>
  <sheets>
    <sheet name="Январь 2022" sheetId="1" r:id="rId1"/>
    <sheet name="Февраль 2022" sheetId="2" r:id="rId2"/>
    <sheet name="Март 2022" sheetId="3" r:id="rId3"/>
    <sheet name="Апрель 2022" sheetId="4" r:id="rId4"/>
    <sheet name="Май 2022" sheetId="5" r:id="rId5"/>
    <sheet name="Июнь 2022" sheetId="6" r:id="rId6"/>
    <sheet name="Июль 2022" sheetId="7" r:id="rId7"/>
    <sheet name="Август 2022" sheetId="8" r:id="rId8"/>
    <sheet name="Сентябрь 2022" sheetId="9" r:id="rId9"/>
    <sheet name="Октябрь 2022" sheetId="10" r:id="rId10"/>
    <sheet name="Ноябрь 2022" sheetId="11" r:id="rId11"/>
    <sheet name="Декабрь 2022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I16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J16*87,2%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I18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J18*87,2%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J16*87,2%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J18*12,8%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G16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H16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МиМ - K16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L16+M16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L18+M18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 + G14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J16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K16*87,2%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J18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K18*87,2%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K16*87,2%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K18*12,8%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H16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I16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I18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БСЗ - E-G14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P16+Q16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P18+Q18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 + G14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J16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K16*87,2%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J18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K18*87,2%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K16*87,2%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K18*12,8%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H16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I16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I18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БСЗ - E-G14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P16+Q16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P18+Q18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 + G14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J16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K16*87,2%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J18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K18*87,2%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K16*87,2%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K18*12,8%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H16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I16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I18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БСЗ - E-G14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P16+Q16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P18+Q18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I16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J16*87,2%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I18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J18*87,2%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J16*87,2%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J18*12,8%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G16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H16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МиМ - K16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L16+M16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L18+M18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J16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K16*87,2%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J18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K18*87,2%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K16*87,2%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K18*12,8%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H16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I16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I18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БСЗ - E-G14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P16+Q16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P18+Q18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J16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K16*87,2%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J18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K18*87,2%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K16*87,2%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K18*12,8%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H16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I16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I18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БСЗ - E-G14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P16+Q16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P18+Q18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J16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K16*87,2%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J18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K18*87,2%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K16*87,2%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K18*12,8%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H16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I16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I18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БСЗ - E-G14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P16+Q16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P18+Q18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J16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K16*87,2%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J18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K18*87,2%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K16*87,2%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K18*12,8%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H16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I16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I18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БСЗ - E-G14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P16+Q16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P18+Q18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J16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K16*87,2%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J18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K18*87,2%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K16*87,2%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K18*12,8%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H16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I16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I18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БСЗ - E-G14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P16+Q16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P18+Q18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J16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K16*87,2%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J18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K18*87,2%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K16*87,2%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K18*12,8%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H16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I16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I18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БСЗ - E-G14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P16+Q16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P18+Q18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 + G14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J16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K16*87,2%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J18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K18*87,2%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K16*87,2%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K18*12,8%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H16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I16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I18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БСЗ - E-G14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P16+Q16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P18+Q18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<sst xmlns="http://schemas.openxmlformats.org/spreadsheetml/2006/main" count="696" uniqueCount="46">
  <si>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</si>
  <si>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</si>
  <si>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</si>
  <si>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</si>
  <si>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</si>
  <si>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Информация об объеме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</si>
  <si>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Наименование территориальной сетевой организации </t>
  </si>
  <si>
    <t>Объем фактического  полезного отпуска электроэнергии по уровням напряжения, тыс. кВтч.</t>
  </si>
  <si>
    <t>Наименование  тарифных групп потребителей</t>
  </si>
  <si>
    <t>СН I</t>
  </si>
  <si>
    <t>Всего</t>
  </si>
  <si>
    <t>уровень напряжения</t>
  </si>
  <si>
    <t>филиал ПАО "МРСК Центра" - "Курскэнерго"</t>
  </si>
  <si>
    <t>Регион</t>
  </si>
  <si>
    <t>Курская обл.</t>
  </si>
  <si>
    <t>Белгородская обл.</t>
  </si>
  <si>
    <t>Оренбургская обл.</t>
  </si>
  <si>
    <t>Ростовская обл.</t>
  </si>
  <si>
    <t>г. Москва</t>
  </si>
  <si>
    <t>Московская обл.</t>
  </si>
  <si>
    <t>филиал ПАО "МРСК Центра" - "Белгородэнерго"</t>
  </si>
  <si>
    <t>филиал ПАО "МРСК Юга" - "Ростовэнерго"</t>
  </si>
  <si>
    <t>ПАО "МОЭСК"</t>
  </si>
  <si>
    <t>СН-2</t>
  </si>
  <si>
    <t>филиал ПАО "МРСК Волги" - "Оренбургэнерго"</t>
  </si>
  <si>
    <t>ООО "УКХ"</t>
  </si>
  <si>
    <t>ПАО "ОЭК"</t>
  </si>
  <si>
    <t>Объем фактического  полезного отпуска мощности по уровням напряжения, МВт.</t>
  </si>
  <si>
    <t>Нижегородская обл.</t>
  </si>
  <si>
    <t>ПАО "МРСК Центра и Приволжья Нижновэнерго"</t>
  </si>
  <si>
    <t>г. Санкт-Петербург</t>
  </si>
  <si>
    <t>ПАО "Россети Ленэнерго"</t>
  </si>
  <si>
    <t>Январь 2022 год</t>
  </si>
  <si>
    <t>Февраль 2022 год</t>
  </si>
  <si>
    <t>Март 2022 год</t>
  </si>
  <si>
    <t>Апрель 2022 год</t>
  </si>
  <si>
    <t>Май 2022 год</t>
  </si>
  <si>
    <t>Июнь 2022 год</t>
  </si>
  <si>
    <t>Июль 2022 год</t>
  </si>
  <si>
    <t>Забайкальский край</t>
  </si>
  <si>
    <t>ПАО "Россети Сибирь"</t>
  </si>
  <si>
    <t>Август 2022 год</t>
  </si>
  <si>
    <t>Сентябрь 2022 год</t>
  </si>
  <si>
    <t>Октябрь 2022 год</t>
  </si>
  <si>
    <t>Ноябрь 2022 год</t>
  </si>
  <si>
    <t>Декабрь 2022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</si>
</sst>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"/>
    <numFmt numFmtId="179" formatCode="#,##0.0000"/>
    <numFmt numFmtId="180" formatCode="#,##0.00000000"/>
    <numFmt numFmtId="181" formatCode="0.00000"/>
    <numFmt numFmtId="182" formatCode="#,##0.000000"/>
    <numFmt numFmtId="183" formatCode="0.000000"/>
    <numFmt numFmtId="184" formatCode="0.00000000"/>
    <numFmt numFmtId="185" formatCode="#,##0.0"/>
    <numFmt numFmtId="186" formatCode="dd/mm/yy;@"/>
    <numFmt numFmtId="187" formatCode="#,##0.0000000"/>
    <numFmt numFmtId="188" formatCode="0.000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ahoma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10" xfId="0" applyNumberFormat="1" applyFont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4" fontId="46" fillId="0" borderId="13" xfId="0" applyNumberFormat="1" applyFont="1" applyBorder="1" applyAlignment="1">
      <alignment horizontal="left" vertical="center" wrapText="1"/>
    </xf>
    <xf numFmtId="4" fontId="46" fillId="0" borderId="14" xfId="0" applyNumberFormat="1" applyFont="1" applyBorder="1" applyAlignment="1">
      <alignment horizontal="left" vertical="center" wrapText="1"/>
    </xf>
    <xf numFmtId="172" fontId="46" fillId="0" borderId="14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4" fontId="46" fillId="0" borderId="15" xfId="0" applyNumberFormat="1" applyFont="1" applyBorder="1" applyAlignment="1">
      <alignment horizontal="left" vertical="center" wrapText="1"/>
    </xf>
    <xf numFmtId="172" fontId="46" fillId="0" borderId="14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1" xfId="0" applyFont="1" applyBorder="1" applyAlignment="1">
      <alignment/>
    </xf>
    <xf numFmtId="0" fontId="47" fillId="0" borderId="16" xfId="0" applyFont="1" applyBorder="1" applyAlignment="1">
      <alignment horizontal="center"/>
    </xf>
    <xf numFmtId="4" fontId="46" fillId="0" borderId="16" xfId="0" applyNumberFormat="1" applyFont="1" applyBorder="1" applyAlignment="1">
      <alignment horizontal="left" vertical="center" wrapText="1"/>
    </xf>
    <xf numFmtId="0" fontId="46" fillId="0" borderId="0" xfId="0" applyFont="1" applyFill="1" applyAlignment="1">
      <alignment/>
    </xf>
    <xf numFmtId="0" fontId="47" fillId="0" borderId="17" xfId="0" applyFont="1" applyBorder="1" applyAlignment="1">
      <alignment horizontal="center" vertical="center"/>
    </xf>
    <xf numFmtId="0" fontId="46" fillId="0" borderId="18" xfId="0" applyFont="1" applyFill="1" applyBorder="1" applyAlignment="1">
      <alignment/>
    </xf>
    <xf numFmtId="0" fontId="46" fillId="33" borderId="14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173" fontId="46" fillId="33" borderId="19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8" fillId="34" borderId="20" xfId="0" applyFont="1" applyFill="1" applyBorder="1" applyAlignment="1">
      <alignment/>
    </xf>
    <xf numFmtId="172" fontId="46" fillId="33" borderId="14" xfId="0" applyNumberFormat="1" applyFont="1" applyFill="1" applyBorder="1" applyAlignment="1">
      <alignment horizontal="center" vertical="center" wrapText="1"/>
    </xf>
    <xf numFmtId="172" fontId="46" fillId="33" borderId="15" xfId="0" applyNumberFormat="1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172" fontId="46" fillId="33" borderId="13" xfId="0" applyNumberFormat="1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172" fontId="46" fillId="33" borderId="12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/>
    </xf>
    <xf numFmtId="172" fontId="46" fillId="33" borderId="10" xfId="0" applyNumberFormat="1" applyFont="1" applyFill="1" applyBorder="1" applyAlignment="1">
      <alignment horizontal="center" vertical="center" wrapText="1"/>
    </xf>
    <xf numFmtId="172" fontId="46" fillId="33" borderId="16" xfId="0" applyNumberFormat="1" applyFont="1" applyFill="1" applyBorder="1" applyAlignment="1">
      <alignment horizontal="center" vertical="center" wrapText="1"/>
    </xf>
    <xf numFmtId="172" fontId="46" fillId="33" borderId="13" xfId="0" applyNumberFormat="1" applyFont="1" applyFill="1" applyBorder="1" applyAlignment="1">
      <alignment horizontal="center" vertical="center"/>
    </xf>
    <xf numFmtId="173" fontId="46" fillId="33" borderId="13" xfId="0" applyNumberFormat="1" applyFont="1" applyFill="1" applyBorder="1" applyAlignment="1">
      <alignment horizontal="center" vertical="center"/>
    </xf>
    <xf numFmtId="4" fontId="46" fillId="33" borderId="13" xfId="0" applyNumberFormat="1" applyFont="1" applyFill="1" applyBorder="1" applyAlignment="1">
      <alignment horizontal="left" vertical="center" wrapText="1"/>
    </xf>
    <xf numFmtId="4" fontId="46" fillId="33" borderId="15" xfId="0" applyNumberFormat="1" applyFont="1" applyFill="1" applyBorder="1" applyAlignment="1">
      <alignment horizontal="left" vertical="center" wrapText="1"/>
    </xf>
    <xf numFmtId="172" fontId="46" fillId="33" borderId="21" xfId="0" applyNumberFormat="1" applyFont="1" applyFill="1" applyBorder="1" applyAlignment="1">
      <alignment horizontal="center" vertical="center" wrapText="1"/>
    </xf>
    <xf numFmtId="172" fontId="46" fillId="33" borderId="15" xfId="0" applyNumberFormat="1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172" fontId="46" fillId="33" borderId="12" xfId="0" applyNumberFormat="1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/>
    </xf>
    <xf numFmtId="0" fontId="46" fillId="33" borderId="22" xfId="0" applyFont="1" applyFill="1" applyBorder="1" applyAlignment="1">
      <alignment/>
    </xf>
    <xf numFmtId="0" fontId="49" fillId="0" borderId="24" xfId="0" applyFont="1" applyBorder="1" applyAlignment="1">
      <alignment horizontal="center" vertical="center" wrapText="1"/>
    </xf>
    <xf numFmtId="172" fontId="2" fillId="33" borderId="14" xfId="0" applyNumberFormat="1" applyFont="1" applyFill="1" applyBorder="1" applyAlignment="1">
      <alignment horizontal="center" vertical="center"/>
    </xf>
    <xf numFmtId="172" fontId="46" fillId="33" borderId="14" xfId="0" applyNumberFormat="1" applyFont="1" applyFill="1" applyBorder="1" applyAlignment="1">
      <alignment horizontal="center" vertical="center"/>
    </xf>
    <xf numFmtId="173" fontId="46" fillId="33" borderId="14" xfId="0" applyNumberFormat="1" applyFont="1" applyFill="1" applyBorder="1" applyAlignment="1">
      <alignment horizontal="center" vertical="center"/>
    </xf>
    <xf numFmtId="173" fontId="46" fillId="33" borderId="18" xfId="0" applyNumberFormat="1" applyFont="1" applyFill="1" applyBorder="1" applyAlignment="1">
      <alignment horizontal="center" vertical="center"/>
    </xf>
    <xf numFmtId="4" fontId="46" fillId="33" borderId="13" xfId="0" applyNumberFormat="1" applyFont="1" applyFill="1" applyBorder="1" applyAlignment="1">
      <alignment horizontal="center" vertical="center"/>
    </xf>
    <xf numFmtId="0" fontId="49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6" fillId="33" borderId="14" xfId="0" applyFont="1" applyFill="1" applyBorder="1" applyAlignment="1">
      <alignment/>
    </xf>
    <xf numFmtId="0" fontId="46" fillId="33" borderId="18" xfId="0" applyFont="1" applyFill="1" applyBorder="1" applyAlignment="1">
      <alignment/>
    </xf>
    <xf numFmtId="0" fontId="49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6" fillId="35" borderId="14" xfId="0" applyFont="1" applyFill="1" applyBorder="1" applyAlignment="1">
      <alignment horizontal="center" vertical="center"/>
    </xf>
    <xf numFmtId="0" fontId="46" fillId="0" borderId="25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/>
    </xf>
    <xf numFmtId="0" fontId="46" fillId="0" borderId="21" xfId="0" applyFont="1" applyBorder="1" applyAlignment="1">
      <alignment horizontal="left" vertical="center"/>
    </xf>
    <xf numFmtId="0" fontId="46" fillId="33" borderId="25" xfId="0" applyFont="1" applyFill="1" applyBorder="1" applyAlignment="1">
      <alignment horizontal="center" vertical="center" wrapText="1"/>
    </xf>
    <xf numFmtId="0" fontId="46" fillId="33" borderId="26" xfId="0" applyFont="1" applyFill="1" applyBorder="1" applyAlignment="1">
      <alignment horizontal="center" vertical="center" wrapText="1"/>
    </xf>
    <xf numFmtId="0" fontId="46" fillId="33" borderId="27" xfId="0" applyNumberFormat="1" applyFont="1" applyFill="1" applyBorder="1" applyAlignment="1">
      <alignment horizontal="left" vertical="center" wrapText="1"/>
    </xf>
    <xf numFmtId="0" fontId="46" fillId="33" borderId="21" xfId="0" applyNumberFormat="1" applyFont="1" applyFill="1" applyBorder="1" applyAlignment="1">
      <alignment horizontal="left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/>
    </xf>
    <xf numFmtId="0" fontId="46" fillId="0" borderId="29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6" fillId="0" borderId="31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/>
    </xf>
    <xf numFmtId="0" fontId="50" fillId="0" borderId="2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/>
    </xf>
    <xf numFmtId="0" fontId="51" fillId="0" borderId="33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1" fillId="0" borderId="37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1" fillId="0" borderId="23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zoomScale="85" zoomScaleNormal="85" zoomScalePageLayoutView="0" workbookViewId="0" topLeftCell="A1">
      <selection activeCell="G7" sqref="G7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92" t="s">
        <v>5</v>
      </c>
      <c r="B1" s="93"/>
      <c r="C1" s="93"/>
      <c r="D1" s="93"/>
      <c r="E1" s="93"/>
      <c r="F1" s="93"/>
      <c r="G1" s="93"/>
      <c r="H1" s="93"/>
      <c r="I1" s="93"/>
      <c r="J1" s="93"/>
      <c r="K1" s="94"/>
    </row>
    <row r="2" spans="1:11" ht="25.5" customHeight="1" thickBot="1">
      <c r="A2" s="28" t="s">
        <v>32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95" t="s">
        <v>13</v>
      </c>
      <c r="B3" s="98" t="s">
        <v>6</v>
      </c>
      <c r="C3" s="98" t="s">
        <v>8</v>
      </c>
      <c r="D3" s="101" t="s">
        <v>7</v>
      </c>
      <c r="E3" s="102"/>
      <c r="F3" s="102"/>
      <c r="G3" s="102"/>
      <c r="H3" s="103"/>
      <c r="I3" s="101" t="s">
        <v>27</v>
      </c>
      <c r="J3" s="102"/>
      <c r="K3" s="104"/>
    </row>
    <row r="4" spans="1:11" ht="18.75" customHeight="1">
      <c r="A4" s="96"/>
      <c r="B4" s="99"/>
      <c r="C4" s="99"/>
      <c r="D4" s="105" t="s">
        <v>10</v>
      </c>
      <c r="E4" s="107" t="s">
        <v>11</v>
      </c>
      <c r="F4" s="108"/>
      <c r="G4" s="109"/>
      <c r="H4" s="50"/>
      <c r="I4" s="110" t="s">
        <v>10</v>
      </c>
      <c r="J4" s="110" t="s">
        <v>11</v>
      </c>
      <c r="K4" s="112"/>
    </row>
    <row r="5" spans="1:11" ht="19.5" customHeight="1" thickBot="1">
      <c r="A5" s="97"/>
      <c r="B5" s="100"/>
      <c r="C5" s="100"/>
      <c r="D5" s="106"/>
      <c r="E5" s="3" t="s">
        <v>0</v>
      </c>
      <c r="F5" s="3" t="s">
        <v>9</v>
      </c>
      <c r="G5" s="4" t="s">
        <v>1</v>
      </c>
      <c r="H5" s="4" t="s">
        <v>2</v>
      </c>
      <c r="I5" s="111"/>
      <c r="J5" s="16" t="s">
        <v>0</v>
      </c>
      <c r="K5" s="19" t="s">
        <v>23</v>
      </c>
    </row>
    <row r="6" spans="1:11" ht="19.5" customHeight="1">
      <c r="A6" s="82" t="s">
        <v>14</v>
      </c>
      <c r="B6" s="79" t="s">
        <v>12</v>
      </c>
      <c r="C6" s="6" t="s">
        <v>3</v>
      </c>
      <c r="D6" s="29">
        <f aca="true" t="shared" si="0" ref="D6:D23">SUM(E6:H6)</f>
        <v>0</v>
      </c>
      <c r="E6" s="7"/>
      <c r="F6" s="7"/>
      <c r="G6" s="51">
        <v>0</v>
      </c>
      <c r="H6" s="8"/>
      <c r="I6" s="10">
        <f aca="true" t="shared" si="1" ref="I6:I21">SUM(J6:K6)</f>
        <v>0</v>
      </c>
      <c r="J6" s="11"/>
      <c r="K6" s="20"/>
    </row>
    <row r="7" spans="1:11" ht="33.75" customHeight="1" thickBot="1">
      <c r="A7" s="83"/>
      <c r="B7" s="80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82" t="s">
        <v>15</v>
      </c>
      <c r="B8" s="79" t="s">
        <v>20</v>
      </c>
      <c r="C8" s="6" t="s">
        <v>3</v>
      </c>
      <c r="D8" s="29">
        <f t="shared" si="0"/>
        <v>5569.729</v>
      </c>
      <c r="E8" s="52">
        <v>4355.251</v>
      </c>
      <c r="F8" s="21"/>
      <c r="G8" s="21">
        <f>35.18+1074.599+104.699</f>
        <v>1214.478</v>
      </c>
      <c r="H8" s="21"/>
      <c r="I8" s="29">
        <f t="shared" si="1"/>
        <v>6.319999999999999</v>
      </c>
      <c r="J8" s="21">
        <v>6.265</v>
      </c>
      <c r="K8" s="22">
        <v>0.055</v>
      </c>
    </row>
    <row r="9" spans="1:11" ht="32.25" customHeight="1" thickBot="1">
      <c r="A9" s="86"/>
      <c r="B9" s="87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82" t="s">
        <v>16</v>
      </c>
      <c r="B10" s="89" t="s">
        <v>24</v>
      </c>
      <c r="C10" s="6" t="s">
        <v>3</v>
      </c>
      <c r="D10" s="29">
        <f>SUM(E10:H10)</f>
        <v>267.593</v>
      </c>
      <c r="E10" s="21">
        <v>48.497</v>
      </c>
      <c r="F10" s="21">
        <v>218.642</v>
      </c>
      <c r="G10" s="21">
        <v>0.454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88"/>
      <c r="B11" s="90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8"/>
      <c r="B12" s="91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83"/>
      <c r="B13" s="73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78" t="s">
        <v>17</v>
      </c>
      <c r="B14" s="79" t="s">
        <v>21</v>
      </c>
      <c r="C14" s="6" t="s">
        <v>3</v>
      </c>
      <c r="D14" s="29">
        <f t="shared" si="0"/>
        <v>603.8670000000001</v>
      </c>
      <c r="E14" s="21"/>
      <c r="F14" s="21"/>
      <c r="G14" s="53">
        <v>603.8670000000001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71"/>
      <c r="B15" s="80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78" t="s">
        <v>18</v>
      </c>
      <c r="B16" s="81" t="s">
        <v>22</v>
      </c>
      <c r="C16" s="6" t="s">
        <v>3</v>
      </c>
      <c r="D16" s="29">
        <f t="shared" si="0"/>
        <v>2971.8502399999998</v>
      </c>
      <c r="E16" s="52">
        <v>1581.734</v>
      </c>
      <c r="F16" s="21"/>
      <c r="G16" s="52">
        <f>1594.17*0.872</f>
        <v>1390.11624</v>
      </c>
      <c r="H16" s="21"/>
      <c r="I16" s="29">
        <f t="shared" si="1"/>
        <v>4.116</v>
      </c>
      <c r="J16" s="21">
        <v>2.21</v>
      </c>
      <c r="K16" s="54">
        <f>ROUND(2.186*0.872,3)</f>
        <v>1.906</v>
      </c>
    </row>
    <row r="17" spans="1:11" ht="33.75" customHeight="1" thickBot="1">
      <c r="A17" s="70"/>
      <c r="B17" s="72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82" t="s">
        <v>18</v>
      </c>
      <c r="B18" s="84" t="s">
        <v>26</v>
      </c>
      <c r="C18" s="6" t="s">
        <v>3</v>
      </c>
      <c r="D18" s="29">
        <f t="shared" si="0"/>
        <v>204.05376</v>
      </c>
      <c r="E18" s="21"/>
      <c r="F18" s="21"/>
      <c r="G18" s="52">
        <f>1594.17*0.128</f>
        <v>204.05376</v>
      </c>
      <c r="H18" s="21"/>
      <c r="I18" s="29">
        <f t="shared" si="1"/>
        <v>0.28</v>
      </c>
      <c r="J18" s="21"/>
      <c r="K18" s="22">
        <f>ROUND(2.186*0.128,3)</f>
        <v>0.28</v>
      </c>
    </row>
    <row r="19" spans="1:11" ht="32.25" customHeight="1" thickBot="1">
      <c r="A19" s="83"/>
      <c r="B19" s="85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70" t="s">
        <v>19</v>
      </c>
      <c r="B20" s="72" t="s">
        <v>22</v>
      </c>
      <c r="C20" s="5" t="s">
        <v>3</v>
      </c>
      <c r="D20" s="33">
        <f t="shared" si="0"/>
        <v>995.842</v>
      </c>
      <c r="E20" s="40">
        <v>886.169</v>
      </c>
      <c r="F20" s="24"/>
      <c r="G20" s="41">
        <v>109.673</v>
      </c>
      <c r="H20" s="24"/>
      <c r="I20" s="33">
        <f t="shared" si="1"/>
        <v>1.367</v>
      </c>
      <c r="J20" s="41">
        <v>1.211</v>
      </c>
      <c r="K20" s="25">
        <v>0.156</v>
      </c>
    </row>
    <row r="21" spans="1:11" ht="30" customHeight="1" thickBot="1">
      <c r="A21" s="71"/>
      <c r="B21" s="73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74" t="s">
        <v>28</v>
      </c>
      <c r="B22" s="76" t="s">
        <v>29</v>
      </c>
      <c r="C22" s="5" t="s">
        <v>3</v>
      </c>
      <c r="D22" s="33">
        <f t="shared" si="0"/>
        <v>13421.005</v>
      </c>
      <c r="E22" s="40">
        <v>11442.668</v>
      </c>
      <c r="F22" s="24"/>
      <c r="G22" s="55">
        <v>1978.337</v>
      </c>
      <c r="H22" s="24"/>
      <c r="I22" s="33">
        <f>SUM(J22:K22)</f>
        <v>0</v>
      </c>
      <c r="J22" s="41"/>
      <c r="K22" s="25"/>
    </row>
    <row r="23" spans="1:11" ht="30.75" customHeight="1" thickBot="1">
      <c r="A23" s="75"/>
      <c r="B23" s="77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>SUM(J23:K23)</f>
        <v>0</v>
      </c>
      <c r="J23" s="27"/>
      <c r="K23" s="32"/>
    </row>
    <row r="24" spans="1:11" ht="21" customHeight="1">
      <c r="A24" s="74" t="s">
        <v>30</v>
      </c>
      <c r="B24" s="76" t="s">
        <v>31</v>
      </c>
      <c r="C24" s="42" t="s">
        <v>3</v>
      </c>
      <c r="D24" s="33">
        <f>SUM(E24:H24)</f>
        <v>1229.669</v>
      </c>
      <c r="E24" s="40"/>
      <c r="F24" s="24"/>
      <c r="G24" s="40">
        <v>1229.669</v>
      </c>
      <c r="H24" s="24"/>
      <c r="I24" s="33">
        <f>SUM(J24:K24)</f>
        <v>1.711</v>
      </c>
      <c r="J24" s="41"/>
      <c r="K24" s="25">
        <v>1.711</v>
      </c>
    </row>
    <row r="25" spans="1:11" ht="30.75" customHeight="1" thickBot="1">
      <c r="A25" s="75"/>
      <c r="B25" s="77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>SUM(J25:K25)</f>
        <v>0</v>
      </c>
      <c r="J25" s="27"/>
      <c r="K25" s="32"/>
    </row>
    <row r="27" ht="15">
      <c r="F27" s="37"/>
    </row>
  </sheetData>
  <sheetProtection/>
  <mergeCells count="29"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  <mergeCell ref="A6:A7"/>
    <mergeCell ref="B6:B7"/>
    <mergeCell ref="A8:A9"/>
    <mergeCell ref="B8:B9"/>
    <mergeCell ref="A10:A13"/>
    <mergeCell ref="B10:B11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zoomScale="85" zoomScaleNormal="85" zoomScalePageLayoutView="0" workbookViewId="0" topLeftCell="A1">
      <selection activeCell="E10" sqref="E10:H10"/>
    </sheetView>
  </sheetViews>
  <sheetFormatPr defaultColWidth="8.8515625" defaultRowHeight="15"/>
  <cols>
    <col min="1" max="1" width="19.710937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92" t="s">
        <v>5</v>
      </c>
      <c r="B1" s="93"/>
      <c r="C1" s="93"/>
      <c r="D1" s="93"/>
      <c r="E1" s="93"/>
      <c r="F1" s="93"/>
      <c r="G1" s="93"/>
      <c r="H1" s="93"/>
      <c r="I1" s="93"/>
      <c r="J1" s="93"/>
      <c r="K1" s="94"/>
    </row>
    <row r="2" spans="1:11" ht="25.5" customHeight="1" thickBot="1">
      <c r="A2" s="28" t="s">
        <v>43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95" t="s">
        <v>13</v>
      </c>
      <c r="B3" s="98" t="s">
        <v>6</v>
      </c>
      <c r="C3" s="98" t="s">
        <v>8</v>
      </c>
      <c r="D3" s="101" t="s">
        <v>7</v>
      </c>
      <c r="E3" s="102"/>
      <c r="F3" s="102"/>
      <c r="G3" s="102"/>
      <c r="H3" s="103"/>
      <c r="I3" s="101" t="s">
        <v>27</v>
      </c>
      <c r="J3" s="102"/>
      <c r="K3" s="104"/>
    </row>
    <row r="4" spans="1:11" ht="18.75" customHeight="1">
      <c r="A4" s="96"/>
      <c r="B4" s="99"/>
      <c r="C4" s="99"/>
      <c r="D4" s="105" t="s">
        <v>10</v>
      </c>
      <c r="E4" s="107" t="s">
        <v>11</v>
      </c>
      <c r="F4" s="108"/>
      <c r="G4" s="109"/>
      <c r="H4" s="66"/>
      <c r="I4" s="110" t="s">
        <v>10</v>
      </c>
      <c r="J4" s="110" t="s">
        <v>11</v>
      </c>
      <c r="K4" s="112"/>
    </row>
    <row r="5" spans="1:11" ht="19.5" customHeight="1" thickBot="1">
      <c r="A5" s="97"/>
      <c r="B5" s="100"/>
      <c r="C5" s="100"/>
      <c r="D5" s="106"/>
      <c r="E5" s="3" t="s">
        <v>0</v>
      </c>
      <c r="F5" s="3" t="s">
        <v>9</v>
      </c>
      <c r="G5" s="4" t="s">
        <v>1</v>
      </c>
      <c r="H5" s="4" t="s">
        <v>2</v>
      </c>
      <c r="I5" s="111"/>
      <c r="J5" s="16" t="s">
        <v>0</v>
      </c>
      <c r="K5" s="19" t="s">
        <v>23</v>
      </c>
    </row>
    <row r="6" spans="1:11" ht="19.5" customHeight="1">
      <c r="A6" s="82" t="s">
        <v>14</v>
      </c>
      <c r="B6" s="79" t="s">
        <v>12</v>
      </c>
      <c r="C6" s="6" t="s">
        <v>3</v>
      </c>
      <c r="D6" s="29">
        <f aca="true" t="shared" si="0" ref="D6:D23">SUM(E6:H6)</f>
        <v>0</v>
      </c>
      <c r="E6" s="52"/>
      <c r="F6" s="52"/>
      <c r="G6" s="51">
        <v>0</v>
      </c>
      <c r="H6" s="51"/>
      <c r="I6" s="29">
        <f aca="true" t="shared" si="1" ref="I6:I27">SUM(J6:K6)</f>
        <v>0</v>
      </c>
      <c r="J6" s="62"/>
      <c r="K6" s="63"/>
    </row>
    <row r="7" spans="1:11" ht="33.75" customHeight="1" thickBot="1">
      <c r="A7" s="83"/>
      <c r="B7" s="80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82" t="s">
        <v>15</v>
      </c>
      <c r="B8" s="79" t="s">
        <v>20</v>
      </c>
      <c r="C8" s="6" t="s">
        <v>3</v>
      </c>
      <c r="D8" s="29">
        <f t="shared" si="0"/>
        <v>0</v>
      </c>
      <c r="E8" s="52">
        <v>0</v>
      </c>
      <c r="F8" s="21"/>
      <c r="G8" s="21">
        <v>0</v>
      </c>
      <c r="H8" s="21"/>
      <c r="I8" s="29">
        <f t="shared" si="1"/>
        <v>0</v>
      </c>
      <c r="J8" s="21">
        <v>0</v>
      </c>
      <c r="K8" s="22">
        <v>0</v>
      </c>
    </row>
    <row r="9" spans="1:11" ht="32.25" customHeight="1" thickBot="1">
      <c r="A9" s="86"/>
      <c r="B9" s="87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82" t="s">
        <v>16</v>
      </c>
      <c r="B10" s="89" t="s">
        <v>24</v>
      </c>
      <c r="C10" s="6" t="s">
        <v>3</v>
      </c>
      <c r="D10" s="29">
        <f>SUM(E10:H10)</f>
        <v>1498.2839999999999</v>
      </c>
      <c r="E10" s="21">
        <v>1317.08</v>
      </c>
      <c r="F10" s="21">
        <v>180.472</v>
      </c>
      <c r="G10" s="21">
        <v>0.732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88"/>
      <c r="B11" s="90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8"/>
      <c r="B12" s="91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83"/>
      <c r="B13" s="73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78" t="s">
        <v>17</v>
      </c>
      <c r="B14" s="79" t="s">
        <v>21</v>
      </c>
      <c r="C14" s="6" t="s">
        <v>3</v>
      </c>
      <c r="D14" s="29">
        <f t="shared" si="0"/>
        <v>596.49</v>
      </c>
      <c r="E14" s="21"/>
      <c r="F14" s="21"/>
      <c r="G14" s="53">
        <f>596.029+0.461</f>
        <v>596.49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71"/>
      <c r="B15" s="80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78" t="s">
        <v>18</v>
      </c>
      <c r="B16" s="81" t="s">
        <v>22</v>
      </c>
      <c r="C16" s="6" t="s">
        <v>3</v>
      </c>
      <c r="D16" s="29">
        <f t="shared" si="0"/>
        <v>3283.57932</v>
      </c>
      <c r="E16" s="52">
        <v>1739.869</v>
      </c>
      <c r="F16" s="21"/>
      <c r="G16" s="52">
        <f>1770.31*0.872</f>
        <v>1543.71032</v>
      </c>
      <c r="H16" s="21"/>
      <c r="I16" s="29">
        <f t="shared" si="1"/>
        <v>4.537</v>
      </c>
      <c r="J16" s="21">
        <v>2.398</v>
      </c>
      <c r="K16" s="54">
        <f>ROUND(2.453*0.872,3)</f>
        <v>2.139</v>
      </c>
    </row>
    <row r="17" spans="1:11" ht="33.75" customHeight="1" thickBot="1">
      <c r="A17" s="70"/>
      <c r="B17" s="72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82" t="s">
        <v>18</v>
      </c>
      <c r="B18" s="84" t="s">
        <v>26</v>
      </c>
      <c r="C18" s="6" t="s">
        <v>3</v>
      </c>
      <c r="D18" s="29">
        <f t="shared" si="0"/>
        <v>226.59968</v>
      </c>
      <c r="E18" s="21"/>
      <c r="F18" s="21"/>
      <c r="G18" s="52">
        <f>1770.31*0.128</f>
        <v>226.59968</v>
      </c>
      <c r="H18" s="21"/>
      <c r="I18" s="29">
        <f t="shared" si="1"/>
        <v>0.314</v>
      </c>
      <c r="J18" s="21"/>
      <c r="K18" s="22">
        <f>ROUND(2.453*0.128,3)</f>
        <v>0.314</v>
      </c>
    </row>
    <row r="19" spans="1:11" ht="32.25" customHeight="1" thickBot="1">
      <c r="A19" s="83"/>
      <c r="B19" s="85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70" t="s">
        <v>19</v>
      </c>
      <c r="B20" s="72" t="s">
        <v>22</v>
      </c>
      <c r="C20" s="5" t="s">
        <v>3</v>
      </c>
      <c r="D20" s="33">
        <f t="shared" si="0"/>
        <v>1228.626</v>
      </c>
      <c r="E20" s="40">
        <v>935.809</v>
      </c>
      <c r="F20" s="24"/>
      <c r="G20" s="41">
        <v>292.817</v>
      </c>
      <c r="H20" s="24"/>
      <c r="I20" s="33">
        <f t="shared" si="1"/>
        <v>1.712</v>
      </c>
      <c r="J20" s="41">
        <v>1.302</v>
      </c>
      <c r="K20" s="25">
        <v>0.41</v>
      </c>
    </row>
    <row r="21" spans="1:11" ht="30" customHeight="1" thickBot="1">
      <c r="A21" s="71"/>
      <c r="B21" s="73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74" t="s">
        <v>28</v>
      </c>
      <c r="B22" s="76" t="s">
        <v>29</v>
      </c>
      <c r="C22" s="5" t="s">
        <v>3</v>
      </c>
      <c r="D22" s="33">
        <f t="shared" si="0"/>
        <v>11015.137</v>
      </c>
      <c r="E22" s="40">
        <v>9388.822</v>
      </c>
      <c r="F22" s="24"/>
      <c r="G22" s="40">
        <v>1626.315</v>
      </c>
      <c r="H22" s="24"/>
      <c r="I22" s="33">
        <f t="shared" si="1"/>
        <v>0</v>
      </c>
      <c r="J22" s="41"/>
      <c r="K22" s="25"/>
    </row>
    <row r="23" spans="1:11" ht="30.75" customHeight="1" thickBot="1">
      <c r="A23" s="75"/>
      <c r="B23" s="77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 t="shared" si="1"/>
        <v>0</v>
      </c>
      <c r="J23" s="27"/>
      <c r="K23" s="32"/>
    </row>
    <row r="24" spans="1:11" ht="21" customHeight="1">
      <c r="A24" s="74" t="s">
        <v>30</v>
      </c>
      <c r="B24" s="76" t="s">
        <v>31</v>
      </c>
      <c r="C24" s="42" t="s">
        <v>3</v>
      </c>
      <c r="D24" s="33">
        <f>SUM(E24:H24)</f>
        <v>1245.003</v>
      </c>
      <c r="E24" s="40"/>
      <c r="F24" s="24"/>
      <c r="G24" s="40">
        <v>1245.003</v>
      </c>
      <c r="H24" s="24"/>
      <c r="I24" s="33">
        <f t="shared" si="1"/>
        <v>1.731</v>
      </c>
      <c r="J24" s="41"/>
      <c r="K24" s="25">
        <v>1.731</v>
      </c>
    </row>
    <row r="25" spans="1:11" ht="30.75" customHeight="1" thickBot="1">
      <c r="A25" s="75"/>
      <c r="B25" s="77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 t="shared" si="1"/>
        <v>0</v>
      </c>
      <c r="J25" s="27"/>
      <c r="K25" s="32"/>
    </row>
    <row r="26" spans="1:11" ht="21" customHeight="1">
      <c r="A26" s="74" t="s">
        <v>39</v>
      </c>
      <c r="B26" s="76" t="s">
        <v>40</v>
      </c>
      <c r="C26" s="42" t="s">
        <v>3</v>
      </c>
      <c r="D26" s="33">
        <f>SUM(E26:H26)</f>
        <v>0</v>
      </c>
      <c r="E26" s="40"/>
      <c r="F26" s="24"/>
      <c r="G26" s="40"/>
      <c r="H26" s="24"/>
      <c r="I26" s="33">
        <f t="shared" si="1"/>
        <v>0</v>
      </c>
      <c r="J26" s="41"/>
      <c r="K26" s="25"/>
    </row>
    <row r="27" spans="1:11" ht="30.75" customHeight="1" thickBot="1">
      <c r="A27" s="75"/>
      <c r="B27" s="77"/>
      <c r="C27" s="43" t="s">
        <v>4</v>
      </c>
      <c r="D27" s="30">
        <f>SUM(E27:H27)</f>
        <v>0</v>
      </c>
      <c r="E27" s="27"/>
      <c r="F27" s="27"/>
      <c r="G27" s="27"/>
      <c r="H27" s="31"/>
      <c r="I27" s="44">
        <f t="shared" si="1"/>
        <v>0</v>
      </c>
      <c r="J27" s="27"/>
      <c r="K27" s="32"/>
    </row>
  </sheetData>
  <sheetProtection/>
  <mergeCells count="31"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  <mergeCell ref="A6:A7"/>
    <mergeCell ref="B6:B7"/>
    <mergeCell ref="A8:A9"/>
    <mergeCell ref="B8:B9"/>
    <mergeCell ref="A10:A13"/>
    <mergeCell ref="B10:B11"/>
    <mergeCell ref="B12:B13"/>
    <mergeCell ref="A14:A15"/>
    <mergeCell ref="B14:B15"/>
    <mergeCell ref="A16:A17"/>
    <mergeCell ref="B16:B17"/>
    <mergeCell ref="A18:A19"/>
    <mergeCell ref="B18:B19"/>
    <mergeCell ref="A26:A27"/>
    <mergeCell ref="B26:B27"/>
    <mergeCell ref="A20:A21"/>
    <mergeCell ref="B20:B21"/>
    <mergeCell ref="A22:A23"/>
    <mergeCell ref="B22:B23"/>
    <mergeCell ref="A24:A25"/>
    <mergeCell ref="B24:B25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zoomScale="85" zoomScaleNormal="85" zoomScalePageLayoutView="0" workbookViewId="0" topLeftCell="A1">
      <selection activeCell="C11" sqref="C11"/>
    </sheetView>
  </sheetViews>
  <sheetFormatPr defaultColWidth="8.8515625" defaultRowHeight="15"/>
  <cols>
    <col min="1" max="1" width="19.710937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92" t="s">
        <v>5</v>
      </c>
      <c r="B1" s="93"/>
      <c r="C1" s="93"/>
      <c r="D1" s="93"/>
      <c r="E1" s="93"/>
      <c r="F1" s="93"/>
      <c r="G1" s="93"/>
      <c r="H1" s="93"/>
      <c r="I1" s="93"/>
      <c r="J1" s="93"/>
      <c r="K1" s="94"/>
    </row>
    <row r="2" spans="1:11" ht="25.5" customHeight="1" thickBot="1">
      <c r="A2" s="28" t="s">
        <v>44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95" t="s">
        <v>13</v>
      </c>
      <c r="B3" s="98" t="s">
        <v>6</v>
      </c>
      <c r="C3" s="98" t="s">
        <v>8</v>
      </c>
      <c r="D3" s="101" t="s">
        <v>7</v>
      </c>
      <c r="E3" s="102"/>
      <c r="F3" s="102"/>
      <c r="G3" s="102"/>
      <c r="H3" s="103"/>
      <c r="I3" s="101" t="s">
        <v>27</v>
      </c>
      <c r="J3" s="102"/>
      <c r="K3" s="104"/>
    </row>
    <row r="4" spans="1:11" ht="18.75" customHeight="1">
      <c r="A4" s="96"/>
      <c r="B4" s="99"/>
      <c r="C4" s="99"/>
      <c r="D4" s="105" t="s">
        <v>10</v>
      </c>
      <c r="E4" s="107" t="s">
        <v>11</v>
      </c>
      <c r="F4" s="108"/>
      <c r="G4" s="109"/>
      <c r="H4" s="67"/>
      <c r="I4" s="110" t="s">
        <v>10</v>
      </c>
      <c r="J4" s="110" t="s">
        <v>11</v>
      </c>
      <c r="K4" s="112"/>
    </row>
    <row r="5" spans="1:11" ht="19.5" customHeight="1" thickBot="1">
      <c r="A5" s="97"/>
      <c r="B5" s="100"/>
      <c r="C5" s="100"/>
      <c r="D5" s="106"/>
      <c r="E5" s="3" t="s">
        <v>0</v>
      </c>
      <c r="F5" s="3" t="s">
        <v>9</v>
      </c>
      <c r="G5" s="4" t="s">
        <v>1</v>
      </c>
      <c r="H5" s="4" t="s">
        <v>2</v>
      </c>
      <c r="I5" s="111"/>
      <c r="J5" s="16" t="s">
        <v>0</v>
      </c>
      <c r="K5" s="19" t="s">
        <v>23</v>
      </c>
    </row>
    <row r="6" spans="1:11" ht="19.5" customHeight="1">
      <c r="A6" s="82" t="s">
        <v>14</v>
      </c>
      <c r="B6" s="79" t="s">
        <v>12</v>
      </c>
      <c r="C6" s="6" t="s">
        <v>3</v>
      </c>
      <c r="D6" s="29">
        <f aca="true" t="shared" si="0" ref="D6:D23">SUM(E6:H6)</f>
        <v>0</v>
      </c>
      <c r="E6" s="52"/>
      <c r="F6" s="52"/>
      <c r="G6" s="51">
        <v>0</v>
      </c>
      <c r="H6" s="51"/>
      <c r="I6" s="29">
        <f aca="true" t="shared" si="1" ref="I6:I27">SUM(J6:K6)</f>
        <v>0</v>
      </c>
      <c r="J6" s="62"/>
      <c r="K6" s="63"/>
    </row>
    <row r="7" spans="1:11" ht="33.75" customHeight="1" thickBot="1">
      <c r="A7" s="83"/>
      <c r="B7" s="80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82" t="s">
        <v>15</v>
      </c>
      <c r="B8" s="79" t="s">
        <v>20</v>
      </c>
      <c r="C8" s="6" t="s">
        <v>3</v>
      </c>
      <c r="D8" s="29">
        <f t="shared" si="0"/>
        <v>0</v>
      </c>
      <c r="E8" s="52">
        <v>0</v>
      </c>
      <c r="F8" s="21"/>
      <c r="G8" s="21">
        <v>0</v>
      </c>
      <c r="H8" s="21"/>
      <c r="I8" s="29">
        <f t="shared" si="1"/>
        <v>0</v>
      </c>
      <c r="J8" s="21">
        <v>0</v>
      </c>
      <c r="K8" s="22">
        <v>0</v>
      </c>
    </row>
    <row r="9" spans="1:11" ht="32.25" customHeight="1" thickBot="1">
      <c r="A9" s="86"/>
      <c r="B9" s="87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82" t="s">
        <v>16</v>
      </c>
      <c r="B10" s="89" t="s">
        <v>24</v>
      </c>
      <c r="C10" s="6" t="s">
        <v>3</v>
      </c>
      <c r="D10" s="29">
        <f>SUM(E10:H10)</f>
        <v>182.976</v>
      </c>
      <c r="E10" s="21">
        <v>0</v>
      </c>
      <c r="F10" s="21">
        <v>182.082</v>
      </c>
      <c r="G10" s="21">
        <v>0.894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88"/>
      <c r="B11" s="90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8"/>
      <c r="B12" s="91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83"/>
      <c r="B13" s="73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78" t="s">
        <v>17</v>
      </c>
      <c r="B14" s="79" t="s">
        <v>21</v>
      </c>
      <c r="C14" s="6" t="s">
        <v>3</v>
      </c>
      <c r="D14" s="29">
        <f t="shared" si="0"/>
        <v>581.4929999999999</v>
      </c>
      <c r="E14" s="21"/>
      <c r="F14" s="21"/>
      <c r="G14" s="53">
        <f>580.751+0.742</f>
        <v>581.4929999999999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71"/>
      <c r="B15" s="80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78" t="s">
        <v>18</v>
      </c>
      <c r="B16" s="81" t="s">
        <v>22</v>
      </c>
      <c r="C16" s="6" t="s">
        <v>3</v>
      </c>
      <c r="D16" s="29">
        <f t="shared" si="0"/>
        <v>3017.0059920000003</v>
      </c>
      <c r="E16" s="52">
        <v>1673.615</v>
      </c>
      <c r="F16" s="21"/>
      <c r="G16" s="52">
        <f>1540.586*0.872</f>
        <v>1343.390992</v>
      </c>
      <c r="H16" s="21"/>
      <c r="I16" s="29">
        <f t="shared" si="1"/>
        <v>4.276</v>
      </c>
      <c r="J16" s="21">
        <v>2.376</v>
      </c>
      <c r="K16" s="54">
        <f>ROUND(2.179*0.872,3)</f>
        <v>1.9</v>
      </c>
    </row>
    <row r="17" spans="1:11" ht="33.75" customHeight="1" thickBot="1">
      <c r="A17" s="70"/>
      <c r="B17" s="72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82" t="s">
        <v>18</v>
      </c>
      <c r="B18" s="84" t="s">
        <v>26</v>
      </c>
      <c r="C18" s="6" t="s">
        <v>3</v>
      </c>
      <c r="D18" s="29">
        <f t="shared" si="0"/>
        <v>197.195008</v>
      </c>
      <c r="E18" s="21"/>
      <c r="F18" s="21"/>
      <c r="G18" s="52">
        <f>1540.586*0.128</f>
        <v>197.195008</v>
      </c>
      <c r="H18" s="21"/>
      <c r="I18" s="29">
        <f t="shared" si="1"/>
        <v>0.279</v>
      </c>
      <c r="J18" s="21"/>
      <c r="K18" s="22">
        <f>ROUND(2.179*0.128,3)</f>
        <v>0.279</v>
      </c>
    </row>
    <row r="19" spans="1:11" ht="32.25" customHeight="1" thickBot="1">
      <c r="A19" s="83"/>
      <c r="B19" s="85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70" t="s">
        <v>19</v>
      </c>
      <c r="B20" s="72" t="s">
        <v>22</v>
      </c>
      <c r="C20" s="5" t="s">
        <v>3</v>
      </c>
      <c r="D20" s="33">
        <f t="shared" si="0"/>
        <v>1047.737</v>
      </c>
      <c r="E20" s="40">
        <v>878.308</v>
      </c>
      <c r="F20" s="24"/>
      <c r="G20" s="41">
        <v>169.429</v>
      </c>
      <c r="H20" s="24"/>
      <c r="I20" s="33">
        <f t="shared" si="1"/>
        <v>1.478</v>
      </c>
      <c r="J20" s="41">
        <v>1.238</v>
      </c>
      <c r="K20" s="25">
        <v>0.24</v>
      </c>
    </row>
    <row r="21" spans="1:11" ht="30" customHeight="1" thickBot="1">
      <c r="A21" s="71"/>
      <c r="B21" s="73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74" t="s">
        <v>28</v>
      </c>
      <c r="B22" s="76" t="s">
        <v>29</v>
      </c>
      <c r="C22" s="5" t="s">
        <v>3</v>
      </c>
      <c r="D22" s="33">
        <f t="shared" si="0"/>
        <v>9891.305</v>
      </c>
      <c r="E22" s="40">
        <v>8255.866</v>
      </c>
      <c r="F22" s="24"/>
      <c r="G22" s="40">
        <v>1635.4389999999999</v>
      </c>
      <c r="H22" s="24"/>
      <c r="I22" s="33">
        <f t="shared" si="1"/>
        <v>0</v>
      </c>
      <c r="J22" s="41"/>
      <c r="K22" s="25"/>
    </row>
    <row r="23" spans="1:11" ht="30.75" customHeight="1" thickBot="1">
      <c r="A23" s="75"/>
      <c r="B23" s="77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 t="shared" si="1"/>
        <v>0</v>
      </c>
      <c r="J23" s="27"/>
      <c r="K23" s="32"/>
    </row>
    <row r="24" spans="1:11" ht="21" customHeight="1">
      <c r="A24" s="74" t="s">
        <v>30</v>
      </c>
      <c r="B24" s="76" t="s">
        <v>31</v>
      </c>
      <c r="C24" s="42" t="s">
        <v>3</v>
      </c>
      <c r="D24" s="33">
        <f>SUM(E24:H24)</f>
        <v>1187.514</v>
      </c>
      <c r="E24" s="40"/>
      <c r="F24" s="24"/>
      <c r="G24" s="40">
        <v>1187.514</v>
      </c>
      <c r="H24" s="24"/>
      <c r="I24" s="33">
        <f t="shared" si="1"/>
        <v>1.707</v>
      </c>
      <c r="J24" s="41"/>
      <c r="K24" s="25">
        <v>1.707</v>
      </c>
    </row>
    <row r="25" spans="1:11" ht="30.75" customHeight="1" thickBot="1">
      <c r="A25" s="75"/>
      <c r="B25" s="77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 t="shared" si="1"/>
        <v>0</v>
      </c>
      <c r="J25" s="27"/>
      <c r="K25" s="32"/>
    </row>
    <row r="26" spans="1:11" ht="21" customHeight="1">
      <c r="A26" s="74" t="s">
        <v>39</v>
      </c>
      <c r="B26" s="76" t="s">
        <v>40</v>
      </c>
      <c r="C26" s="42" t="s">
        <v>3</v>
      </c>
      <c r="D26" s="33">
        <f>SUM(E26:H26)</f>
        <v>0</v>
      </c>
      <c r="E26" s="40"/>
      <c r="F26" s="24"/>
      <c r="G26" s="40"/>
      <c r="H26" s="24"/>
      <c r="I26" s="33">
        <f t="shared" si="1"/>
        <v>0</v>
      </c>
      <c r="J26" s="41"/>
      <c r="K26" s="25"/>
    </row>
    <row r="27" spans="1:11" ht="30.75" customHeight="1" thickBot="1">
      <c r="A27" s="75"/>
      <c r="B27" s="77"/>
      <c r="C27" s="43" t="s">
        <v>4</v>
      </c>
      <c r="D27" s="30">
        <f>SUM(E27:H27)</f>
        <v>0</v>
      </c>
      <c r="E27" s="27"/>
      <c r="F27" s="27"/>
      <c r="G27" s="27"/>
      <c r="H27" s="31"/>
      <c r="I27" s="44">
        <f t="shared" si="1"/>
        <v>0</v>
      </c>
      <c r="J27" s="27"/>
      <c r="K27" s="32"/>
    </row>
  </sheetData>
  <sheetProtection/>
  <mergeCells count="31"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  <mergeCell ref="A6:A7"/>
    <mergeCell ref="B6:B7"/>
    <mergeCell ref="A8:A9"/>
    <mergeCell ref="B8:B9"/>
    <mergeCell ref="A10:A13"/>
    <mergeCell ref="B10:B11"/>
    <mergeCell ref="B12:B13"/>
    <mergeCell ref="A14:A15"/>
    <mergeCell ref="B14:B15"/>
    <mergeCell ref="A16:A17"/>
    <mergeCell ref="B16:B17"/>
    <mergeCell ref="A18:A19"/>
    <mergeCell ref="B18:B19"/>
    <mergeCell ref="A26:A27"/>
    <mergeCell ref="B26:B27"/>
    <mergeCell ref="A20:A21"/>
    <mergeCell ref="B20:B21"/>
    <mergeCell ref="A22:A23"/>
    <mergeCell ref="B22:B23"/>
    <mergeCell ref="A24:A25"/>
    <mergeCell ref="B24:B25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tabSelected="1" zoomScale="85" zoomScaleNormal="85" zoomScalePageLayoutView="0" workbookViewId="0" topLeftCell="A1">
      <selection activeCell="K24" sqref="K24"/>
    </sheetView>
  </sheetViews>
  <sheetFormatPr defaultColWidth="8.8515625" defaultRowHeight="15"/>
  <cols>
    <col min="1" max="1" width="19.710937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92" t="s">
        <v>5</v>
      </c>
      <c r="B1" s="93"/>
      <c r="C1" s="93"/>
      <c r="D1" s="93"/>
      <c r="E1" s="93"/>
      <c r="F1" s="93"/>
      <c r="G1" s="93"/>
      <c r="H1" s="93"/>
      <c r="I1" s="93"/>
      <c r="J1" s="93"/>
      <c r="K1" s="94"/>
    </row>
    <row r="2" spans="1:11" ht="25.5" customHeight="1" thickBot="1">
      <c r="A2" s="28" t="s">
        <v>45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95" t="s">
        <v>13</v>
      </c>
      <c r="B3" s="98" t="s">
        <v>6</v>
      </c>
      <c r="C3" s="98" t="s">
        <v>8</v>
      </c>
      <c r="D3" s="101" t="s">
        <v>7</v>
      </c>
      <c r="E3" s="102"/>
      <c r="F3" s="102"/>
      <c r="G3" s="102"/>
      <c r="H3" s="103"/>
      <c r="I3" s="101" t="s">
        <v>27</v>
      </c>
      <c r="J3" s="102"/>
      <c r="K3" s="104"/>
    </row>
    <row r="4" spans="1:11" ht="18.75" customHeight="1">
      <c r="A4" s="96"/>
      <c r="B4" s="99"/>
      <c r="C4" s="99"/>
      <c r="D4" s="105" t="s">
        <v>10</v>
      </c>
      <c r="E4" s="107" t="s">
        <v>11</v>
      </c>
      <c r="F4" s="108"/>
      <c r="G4" s="109"/>
      <c r="H4" s="68"/>
      <c r="I4" s="110" t="s">
        <v>10</v>
      </c>
      <c r="J4" s="110" t="s">
        <v>11</v>
      </c>
      <c r="K4" s="112"/>
    </row>
    <row r="5" spans="1:11" ht="19.5" customHeight="1" thickBot="1">
      <c r="A5" s="97"/>
      <c r="B5" s="100"/>
      <c r="C5" s="100"/>
      <c r="D5" s="106"/>
      <c r="E5" s="3" t="s">
        <v>0</v>
      </c>
      <c r="F5" s="3" t="s">
        <v>9</v>
      </c>
      <c r="G5" s="4" t="s">
        <v>1</v>
      </c>
      <c r="H5" s="4" t="s">
        <v>2</v>
      </c>
      <c r="I5" s="111"/>
      <c r="J5" s="16" t="s">
        <v>0</v>
      </c>
      <c r="K5" s="19" t="s">
        <v>23</v>
      </c>
    </row>
    <row r="6" spans="1:11" ht="19.5" customHeight="1">
      <c r="A6" s="82" t="s">
        <v>14</v>
      </c>
      <c r="B6" s="79" t="s">
        <v>12</v>
      </c>
      <c r="C6" s="6" t="s">
        <v>3</v>
      </c>
      <c r="D6" s="29">
        <f aca="true" t="shared" si="0" ref="D6:D23">SUM(E6:H6)</f>
        <v>0</v>
      </c>
      <c r="E6" s="52"/>
      <c r="F6" s="52"/>
      <c r="G6" s="51">
        <v>0</v>
      </c>
      <c r="H6" s="51"/>
      <c r="I6" s="29">
        <f aca="true" t="shared" si="1" ref="I6:I27">SUM(J6:K6)</f>
        <v>0</v>
      </c>
      <c r="J6" s="62"/>
      <c r="K6" s="63"/>
    </row>
    <row r="7" spans="1:11" ht="33.75" customHeight="1" thickBot="1">
      <c r="A7" s="83"/>
      <c r="B7" s="80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82" t="s">
        <v>15</v>
      </c>
      <c r="B8" s="79" t="s">
        <v>20</v>
      </c>
      <c r="C8" s="6" t="s">
        <v>3</v>
      </c>
      <c r="D8" s="29">
        <f t="shared" si="0"/>
        <v>0</v>
      </c>
      <c r="E8" s="52">
        <v>0</v>
      </c>
      <c r="F8" s="21"/>
      <c r="G8" s="21">
        <v>0</v>
      </c>
      <c r="H8" s="21"/>
      <c r="I8" s="29">
        <f t="shared" si="1"/>
        <v>0</v>
      </c>
      <c r="J8" s="21">
        <v>0</v>
      </c>
      <c r="K8" s="22">
        <v>0</v>
      </c>
    </row>
    <row r="9" spans="1:11" ht="32.25" customHeight="1" thickBot="1">
      <c r="A9" s="86"/>
      <c r="B9" s="87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82" t="s">
        <v>16</v>
      </c>
      <c r="B10" s="89" t="s">
        <v>24</v>
      </c>
      <c r="C10" s="6" t="s">
        <v>3</v>
      </c>
      <c r="D10" s="29">
        <f>SUM(E10:H10)</f>
        <v>0</v>
      </c>
      <c r="E10" s="69"/>
      <c r="F10" s="69"/>
      <c r="G10" s="69"/>
      <c r="H10" s="69"/>
      <c r="I10" s="29">
        <f t="shared" si="1"/>
        <v>0</v>
      </c>
      <c r="J10" s="21"/>
      <c r="K10" s="22"/>
    </row>
    <row r="11" spans="1:13" ht="33.75" customHeight="1">
      <c r="A11" s="88"/>
      <c r="B11" s="90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8"/>
      <c r="B12" s="91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83"/>
      <c r="B13" s="73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78" t="s">
        <v>17</v>
      </c>
      <c r="B14" s="79" t="s">
        <v>21</v>
      </c>
      <c r="C14" s="6" t="s">
        <v>3</v>
      </c>
      <c r="D14" s="29">
        <f t="shared" si="0"/>
        <v>612.108</v>
      </c>
      <c r="E14" s="21"/>
      <c r="F14" s="21"/>
      <c r="G14" s="53">
        <f>611.43+0.678</f>
        <v>612.108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71"/>
      <c r="B15" s="80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78" t="s">
        <v>18</v>
      </c>
      <c r="B16" s="81" t="s">
        <v>22</v>
      </c>
      <c r="C16" s="6" t="s">
        <v>3</v>
      </c>
      <c r="D16" s="29">
        <f t="shared" si="0"/>
        <v>3125.5099760000003</v>
      </c>
      <c r="E16" s="52">
        <v>1755.155</v>
      </c>
      <c r="F16" s="21"/>
      <c r="G16" s="52">
        <f>1571.508*0.872</f>
        <v>1370.354976</v>
      </c>
      <c r="H16" s="21"/>
      <c r="I16" s="29">
        <f t="shared" si="1"/>
        <v>4.296</v>
      </c>
      <c r="J16" s="21">
        <v>2.422</v>
      </c>
      <c r="K16" s="54">
        <f>ROUND(2.149*0.872,3)</f>
        <v>1.874</v>
      </c>
    </row>
    <row r="17" spans="1:11" ht="33.75" customHeight="1" thickBot="1">
      <c r="A17" s="70"/>
      <c r="B17" s="72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82" t="s">
        <v>18</v>
      </c>
      <c r="B18" s="84" t="s">
        <v>26</v>
      </c>
      <c r="C18" s="6" t="s">
        <v>3</v>
      </c>
      <c r="D18" s="29">
        <f t="shared" si="0"/>
        <v>201.15302400000002</v>
      </c>
      <c r="E18" s="21"/>
      <c r="F18" s="21"/>
      <c r="G18" s="52">
        <f>1571.508*0.128</f>
        <v>201.15302400000002</v>
      </c>
      <c r="H18" s="21"/>
      <c r="I18" s="29">
        <f t="shared" si="1"/>
        <v>0.275</v>
      </c>
      <c r="J18" s="21"/>
      <c r="K18" s="22">
        <f>ROUND(2.149*0.128,3)</f>
        <v>0.275</v>
      </c>
    </row>
    <row r="19" spans="1:11" ht="32.25" customHeight="1" thickBot="1">
      <c r="A19" s="83"/>
      <c r="B19" s="85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70" t="s">
        <v>19</v>
      </c>
      <c r="B20" s="72" t="s">
        <v>22</v>
      </c>
      <c r="C20" s="5" t="s">
        <v>3</v>
      </c>
      <c r="D20" s="33">
        <f t="shared" si="0"/>
        <v>1023.422</v>
      </c>
      <c r="E20" s="40">
        <v>844.124</v>
      </c>
      <c r="F20" s="24"/>
      <c r="G20" s="41">
        <v>179.298</v>
      </c>
      <c r="H20" s="24"/>
      <c r="I20" s="33">
        <f t="shared" si="1"/>
        <v>1.4049999999999998</v>
      </c>
      <c r="J20" s="41">
        <v>1.15</v>
      </c>
      <c r="K20" s="25">
        <v>0.255</v>
      </c>
    </row>
    <row r="21" spans="1:11" ht="30" customHeight="1" thickBot="1">
      <c r="A21" s="71"/>
      <c r="B21" s="73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74" t="s">
        <v>28</v>
      </c>
      <c r="B22" s="76" t="s">
        <v>29</v>
      </c>
      <c r="C22" s="5" t="s">
        <v>3</v>
      </c>
      <c r="D22" s="33">
        <f t="shared" si="0"/>
        <v>11027.997</v>
      </c>
      <c r="E22" s="40">
        <v>9424.586</v>
      </c>
      <c r="F22" s="24"/>
      <c r="G22" s="40">
        <v>1603.411</v>
      </c>
      <c r="H22" s="24"/>
      <c r="I22" s="33">
        <f t="shared" si="1"/>
        <v>0</v>
      </c>
      <c r="J22" s="41"/>
      <c r="K22" s="25"/>
    </row>
    <row r="23" spans="1:11" ht="30.75" customHeight="1" thickBot="1">
      <c r="A23" s="75"/>
      <c r="B23" s="77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 t="shared" si="1"/>
        <v>0</v>
      </c>
      <c r="J23" s="27"/>
      <c r="K23" s="32"/>
    </row>
    <row r="24" spans="1:11" ht="21" customHeight="1">
      <c r="A24" s="74" t="s">
        <v>30</v>
      </c>
      <c r="B24" s="76" t="s">
        <v>31</v>
      </c>
      <c r="C24" s="42" t="s">
        <v>3</v>
      </c>
      <c r="D24" s="33">
        <f>SUM(E24:H24)</f>
        <v>1240.265</v>
      </c>
      <c r="E24" s="40"/>
      <c r="F24" s="24"/>
      <c r="G24" s="40">
        <v>1240.265</v>
      </c>
      <c r="H24" s="24"/>
      <c r="I24" s="33">
        <f t="shared" si="1"/>
        <v>1.712</v>
      </c>
      <c r="J24" s="41"/>
      <c r="K24" s="25">
        <v>1.712</v>
      </c>
    </row>
    <row r="25" spans="1:11" ht="30.75" customHeight="1" thickBot="1">
      <c r="A25" s="75"/>
      <c r="B25" s="77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 t="shared" si="1"/>
        <v>0</v>
      </c>
      <c r="J25" s="27"/>
      <c r="K25" s="32"/>
    </row>
    <row r="26" spans="1:11" ht="21" customHeight="1">
      <c r="A26" s="74" t="s">
        <v>39</v>
      </c>
      <c r="B26" s="76" t="s">
        <v>40</v>
      </c>
      <c r="C26" s="42" t="s">
        <v>3</v>
      </c>
      <c r="D26" s="33">
        <f>SUM(E26:H26)</f>
        <v>0</v>
      </c>
      <c r="E26" s="40"/>
      <c r="F26" s="24"/>
      <c r="G26" s="40"/>
      <c r="H26" s="24"/>
      <c r="I26" s="33">
        <f t="shared" si="1"/>
        <v>0</v>
      </c>
      <c r="J26" s="41"/>
      <c r="K26" s="25"/>
    </row>
    <row r="27" spans="1:11" ht="30.75" customHeight="1" thickBot="1">
      <c r="A27" s="75"/>
      <c r="B27" s="77"/>
      <c r="C27" s="43" t="s">
        <v>4</v>
      </c>
      <c r="D27" s="30">
        <f>SUM(E27:H27)</f>
        <v>0</v>
      </c>
      <c r="E27" s="27"/>
      <c r="F27" s="27"/>
      <c r="G27" s="27"/>
      <c r="H27" s="31"/>
      <c r="I27" s="44">
        <f t="shared" si="1"/>
        <v>0</v>
      </c>
      <c r="J27" s="27"/>
      <c r="K27" s="32"/>
    </row>
  </sheetData>
  <sheetProtection/>
  <mergeCells count="31"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  <mergeCell ref="A6:A7"/>
    <mergeCell ref="B6:B7"/>
    <mergeCell ref="A8:A9"/>
    <mergeCell ref="B8:B9"/>
    <mergeCell ref="A10:A13"/>
    <mergeCell ref="B10:B11"/>
    <mergeCell ref="B12:B13"/>
    <mergeCell ref="A14:A15"/>
    <mergeCell ref="B14:B15"/>
    <mergeCell ref="A16:A17"/>
    <mergeCell ref="B16:B17"/>
    <mergeCell ref="A18:A19"/>
    <mergeCell ref="B18:B19"/>
    <mergeCell ref="A26:A27"/>
    <mergeCell ref="B26:B27"/>
    <mergeCell ref="A20:A21"/>
    <mergeCell ref="B20:B21"/>
    <mergeCell ref="A22:A23"/>
    <mergeCell ref="B22:B23"/>
    <mergeCell ref="A24:A25"/>
    <mergeCell ref="B24:B25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zoomScale="85" zoomScaleNormal="85" zoomScalePageLayoutView="0" workbookViewId="0" topLeftCell="A1">
      <selection activeCell="G16" sqref="G16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92" t="s">
        <v>5</v>
      </c>
      <c r="B1" s="93"/>
      <c r="C1" s="93"/>
      <c r="D1" s="93"/>
      <c r="E1" s="93"/>
      <c r="F1" s="93"/>
      <c r="G1" s="93"/>
      <c r="H1" s="93"/>
      <c r="I1" s="93"/>
      <c r="J1" s="93"/>
      <c r="K1" s="94"/>
    </row>
    <row r="2" spans="1:11" ht="25.5" customHeight="1" thickBot="1">
      <c r="A2" s="28" t="s">
        <v>33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95" t="s">
        <v>13</v>
      </c>
      <c r="B3" s="98" t="s">
        <v>6</v>
      </c>
      <c r="C3" s="98" t="s">
        <v>8</v>
      </c>
      <c r="D3" s="101" t="s">
        <v>7</v>
      </c>
      <c r="E3" s="102"/>
      <c r="F3" s="102"/>
      <c r="G3" s="102"/>
      <c r="H3" s="103"/>
      <c r="I3" s="101" t="s">
        <v>27</v>
      </c>
      <c r="J3" s="102"/>
      <c r="K3" s="104"/>
    </row>
    <row r="4" spans="1:11" ht="18.75" customHeight="1">
      <c r="A4" s="96"/>
      <c r="B4" s="99"/>
      <c r="C4" s="99"/>
      <c r="D4" s="105" t="s">
        <v>10</v>
      </c>
      <c r="E4" s="107" t="s">
        <v>11</v>
      </c>
      <c r="F4" s="108"/>
      <c r="G4" s="109"/>
      <c r="H4" s="56"/>
      <c r="I4" s="110" t="s">
        <v>10</v>
      </c>
      <c r="J4" s="110" t="s">
        <v>11</v>
      </c>
      <c r="K4" s="112"/>
    </row>
    <row r="5" spans="1:11" ht="19.5" customHeight="1" thickBot="1">
      <c r="A5" s="97"/>
      <c r="B5" s="100"/>
      <c r="C5" s="100"/>
      <c r="D5" s="106"/>
      <c r="E5" s="3" t="s">
        <v>0</v>
      </c>
      <c r="F5" s="3" t="s">
        <v>9</v>
      </c>
      <c r="G5" s="4" t="s">
        <v>1</v>
      </c>
      <c r="H5" s="4" t="s">
        <v>2</v>
      </c>
      <c r="I5" s="111"/>
      <c r="J5" s="16" t="s">
        <v>0</v>
      </c>
      <c r="K5" s="19" t="s">
        <v>23</v>
      </c>
    </row>
    <row r="6" spans="1:11" ht="19.5" customHeight="1">
      <c r="A6" s="82" t="s">
        <v>14</v>
      </c>
      <c r="B6" s="79" t="s">
        <v>12</v>
      </c>
      <c r="C6" s="6" t="s">
        <v>3</v>
      </c>
      <c r="D6" s="29">
        <f aca="true" t="shared" si="0" ref="D6:D23">SUM(E6:H6)</f>
        <v>0</v>
      </c>
      <c r="E6" s="7"/>
      <c r="F6" s="7"/>
      <c r="G6" s="51">
        <v>0</v>
      </c>
      <c r="H6" s="8"/>
      <c r="I6" s="10">
        <f aca="true" t="shared" si="1" ref="I6:I21">SUM(J6:K6)</f>
        <v>0</v>
      </c>
      <c r="J6" s="11"/>
      <c r="K6" s="20"/>
    </row>
    <row r="7" spans="1:11" ht="33.75" customHeight="1" thickBot="1">
      <c r="A7" s="83"/>
      <c r="B7" s="80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82" t="s">
        <v>15</v>
      </c>
      <c r="B8" s="79" t="s">
        <v>20</v>
      </c>
      <c r="C8" s="6" t="s">
        <v>3</v>
      </c>
      <c r="D8" s="29">
        <f t="shared" si="0"/>
        <v>5675.718000000001</v>
      </c>
      <c r="E8" s="52">
        <v>4367.746</v>
      </c>
      <c r="F8" s="21"/>
      <c r="G8" s="21">
        <f>20.198+1188.881+98.893</f>
        <v>1307.9720000000002</v>
      </c>
      <c r="H8" s="21"/>
      <c r="I8" s="29">
        <f t="shared" si="1"/>
        <v>5.792999999999999</v>
      </c>
      <c r="J8" s="21">
        <v>5.754</v>
      </c>
      <c r="K8" s="22">
        <v>0.039</v>
      </c>
    </row>
    <row r="9" spans="1:11" ht="32.25" customHeight="1" thickBot="1">
      <c r="A9" s="86"/>
      <c r="B9" s="87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82" t="s">
        <v>16</v>
      </c>
      <c r="B10" s="89" t="s">
        <v>24</v>
      </c>
      <c r="C10" s="6" t="s">
        <v>3</v>
      </c>
      <c r="D10" s="29">
        <f>SUM(E10:H10)</f>
        <v>174.13</v>
      </c>
      <c r="E10" s="21">
        <v>0</v>
      </c>
      <c r="F10" s="21">
        <v>173.72</v>
      </c>
      <c r="G10" s="21">
        <v>0.41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88"/>
      <c r="B11" s="90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8"/>
      <c r="B12" s="91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83"/>
      <c r="B13" s="73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78" t="s">
        <v>17</v>
      </c>
      <c r="B14" s="79" t="s">
        <v>21</v>
      </c>
      <c r="C14" s="6" t="s">
        <v>3</v>
      </c>
      <c r="D14" s="29">
        <f t="shared" si="0"/>
        <v>555.082</v>
      </c>
      <c r="E14" s="21"/>
      <c r="F14" s="21"/>
      <c r="G14" s="53">
        <v>555.082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71"/>
      <c r="B15" s="80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78" t="s">
        <v>18</v>
      </c>
      <c r="B16" s="81" t="s">
        <v>22</v>
      </c>
      <c r="C16" s="6" t="s">
        <v>3</v>
      </c>
      <c r="D16" s="29">
        <f t="shared" si="0"/>
        <v>2746.182432</v>
      </c>
      <c r="E16" s="52">
        <v>1467.411</v>
      </c>
      <c r="F16" s="21"/>
      <c r="G16" s="52">
        <f>1466.481*0.872</f>
        <v>1278.771432</v>
      </c>
      <c r="H16" s="21"/>
      <c r="I16" s="29">
        <f t="shared" si="1"/>
        <v>4.197</v>
      </c>
      <c r="J16" s="21">
        <v>2.225</v>
      </c>
      <c r="K16" s="54">
        <f>ROUND(2.262*0.872,3)</f>
        <v>1.972</v>
      </c>
    </row>
    <row r="17" spans="1:11" ht="33.75" customHeight="1" thickBot="1">
      <c r="A17" s="70"/>
      <c r="B17" s="72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82" t="s">
        <v>18</v>
      </c>
      <c r="B18" s="84" t="s">
        <v>26</v>
      </c>
      <c r="C18" s="6" t="s">
        <v>3</v>
      </c>
      <c r="D18" s="29">
        <f t="shared" si="0"/>
        <v>187.709568</v>
      </c>
      <c r="E18" s="21"/>
      <c r="F18" s="21"/>
      <c r="G18" s="52">
        <f>1466.481*0.128</f>
        <v>187.709568</v>
      </c>
      <c r="H18" s="21"/>
      <c r="I18" s="29">
        <f t="shared" si="1"/>
        <v>0.29</v>
      </c>
      <c r="J18" s="21"/>
      <c r="K18" s="22">
        <f>ROUND(2.262*0.128,3)</f>
        <v>0.29</v>
      </c>
    </row>
    <row r="19" spans="1:11" ht="32.25" customHeight="1" thickBot="1">
      <c r="A19" s="83"/>
      <c r="B19" s="85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70" t="s">
        <v>19</v>
      </c>
      <c r="B20" s="72" t="s">
        <v>22</v>
      </c>
      <c r="C20" s="5" t="s">
        <v>3</v>
      </c>
      <c r="D20" s="33">
        <f t="shared" si="0"/>
        <v>983.742</v>
      </c>
      <c r="E20" s="40">
        <v>851.444</v>
      </c>
      <c r="F20" s="24"/>
      <c r="G20" s="41">
        <v>132.298</v>
      </c>
      <c r="H20" s="24"/>
      <c r="I20" s="33">
        <f t="shared" si="1"/>
        <v>1.535</v>
      </c>
      <c r="J20" s="41">
        <v>1.311</v>
      </c>
      <c r="K20" s="25">
        <v>0.224</v>
      </c>
    </row>
    <row r="21" spans="1:11" ht="30" customHeight="1" thickBot="1">
      <c r="A21" s="71"/>
      <c r="B21" s="73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74" t="s">
        <v>28</v>
      </c>
      <c r="B22" s="76" t="s">
        <v>29</v>
      </c>
      <c r="C22" s="5" t="s">
        <v>3</v>
      </c>
      <c r="D22" s="33">
        <f t="shared" si="0"/>
        <v>13240.760999999999</v>
      </c>
      <c r="E22" s="40">
        <v>11253.533</v>
      </c>
      <c r="F22" s="24"/>
      <c r="G22" s="55">
        <v>1987.228</v>
      </c>
      <c r="H22" s="24"/>
      <c r="I22" s="33">
        <f>SUM(J22:K22)</f>
        <v>0</v>
      </c>
      <c r="J22" s="41"/>
      <c r="K22" s="25"/>
    </row>
    <row r="23" spans="1:11" ht="30.75" customHeight="1" thickBot="1">
      <c r="A23" s="75"/>
      <c r="B23" s="77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>SUM(J23:K23)</f>
        <v>0</v>
      </c>
      <c r="J23" s="27"/>
      <c r="K23" s="32"/>
    </row>
    <row r="24" spans="1:11" ht="21" customHeight="1">
      <c r="A24" s="74" t="s">
        <v>30</v>
      </c>
      <c r="B24" s="76" t="s">
        <v>31</v>
      </c>
      <c r="C24" s="42" t="s">
        <v>3</v>
      </c>
      <c r="D24" s="33">
        <f>SUM(E24:H24)</f>
        <v>1112.09</v>
      </c>
      <c r="E24" s="40"/>
      <c r="F24" s="24"/>
      <c r="G24" s="40">
        <v>1112.09</v>
      </c>
      <c r="H24" s="24"/>
      <c r="I24" s="33">
        <f>SUM(J24:K24)</f>
        <v>1.699</v>
      </c>
      <c r="J24" s="41"/>
      <c r="K24" s="25">
        <v>1.699</v>
      </c>
    </row>
    <row r="25" spans="1:11" ht="30.75" customHeight="1" thickBot="1">
      <c r="A25" s="75"/>
      <c r="B25" s="77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>SUM(J25:K25)</f>
        <v>0</v>
      </c>
      <c r="J25" s="27"/>
      <c r="K25" s="32"/>
    </row>
    <row r="27" ht="15">
      <c r="F27" s="37"/>
    </row>
  </sheetData>
  <sheetProtection/>
  <mergeCells count="29"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6:A7"/>
    <mergeCell ref="B6:B7"/>
    <mergeCell ref="A8:A9"/>
    <mergeCell ref="B8:B9"/>
    <mergeCell ref="A10:A13"/>
    <mergeCell ref="B10:B11"/>
    <mergeCell ref="B12:B13"/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zoomScale="85" zoomScaleNormal="85" zoomScalePageLayoutView="0" workbookViewId="0" topLeftCell="A1">
      <selection activeCell="E11" sqref="E11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92" t="s">
        <v>5</v>
      </c>
      <c r="B1" s="93"/>
      <c r="C1" s="93"/>
      <c r="D1" s="93"/>
      <c r="E1" s="93"/>
      <c r="F1" s="93"/>
      <c r="G1" s="93"/>
      <c r="H1" s="93"/>
      <c r="I1" s="93"/>
      <c r="J1" s="93"/>
      <c r="K1" s="94"/>
    </row>
    <row r="2" spans="1:11" ht="25.5" customHeight="1" thickBot="1">
      <c r="A2" s="28" t="s">
        <v>34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95" t="s">
        <v>13</v>
      </c>
      <c r="B3" s="98" t="s">
        <v>6</v>
      </c>
      <c r="C3" s="98" t="s">
        <v>8</v>
      </c>
      <c r="D3" s="101" t="s">
        <v>7</v>
      </c>
      <c r="E3" s="102"/>
      <c r="F3" s="102"/>
      <c r="G3" s="102"/>
      <c r="H3" s="103"/>
      <c r="I3" s="101" t="s">
        <v>27</v>
      </c>
      <c r="J3" s="102"/>
      <c r="K3" s="104"/>
    </row>
    <row r="4" spans="1:11" ht="18.75" customHeight="1">
      <c r="A4" s="96"/>
      <c r="B4" s="99"/>
      <c r="C4" s="99"/>
      <c r="D4" s="105" t="s">
        <v>10</v>
      </c>
      <c r="E4" s="107" t="s">
        <v>11</v>
      </c>
      <c r="F4" s="108"/>
      <c r="G4" s="109"/>
      <c r="H4" s="57"/>
      <c r="I4" s="110" t="s">
        <v>10</v>
      </c>
      <c r="J4" s="110" t="s">
        <v>11</v>
      </c>
      <c r="K4" s="112"/>
    </row>
    <row r="5" spans="1:11" ht="19.5" customHeight="1" thickBot="1">
      <c r="A5" s="97"/>
      <c r="B5" s="100"/>
      <c r="C5" s="100"/>
      <c r="D5" s="106"/>
      <c r="E5" s="3" t="s">
        <v>0</v>
      </c>
      <c r="F5" s="3" t="s">
        <v>9</v>
      </c>
      <c r="G5" s="4" t="s">
        <v>1</v>
      </c>
      <c r="H5" s="4" t="s">
        <v>2</v>
      </c>
      <c r="I5" s="111"/>
      <c r="J5" s="16" t="s">
        <v>0</v>
      </c>
      <c r="K5" s="19" t="s">
        <v>23</v>
      </c>
    </row>
    <row r="6" spans="1:11" ht="19.5" customHeight="1">
      <c r="A6" s="82" t="s">
        <v>14</v>
      </c>
      <c r="B6" s="79" t="s">
        <v>12</v>
      </c>
      <c r="C6" s="6" t="s">
        <v>3</v>
      </c>
      <c r="D6" s="29">
        <f aca="true" t="shared" si="0" ref="D6:D23">SUM(E6:H6)</f>
        <v>0</v>
      </c>
      <c r="E6" s="7"/>
      <c r="F6" s="7"/>
      <c r="G6" s="51">
        <v>0</v>
      </c>
      <c r="H6" s="8"/>
      <c r="I6" s="10">
        <f aca="true" t="shared" si="1" ref="I6:I21">SUM(J6:K6)</f>
        <v>0</v>
      </c>
      <c r="J6" s="11"/>
      <c r="K6" s="20"/>
    </row>
    <row r="7" spans="1:11" ht="33.75" customHeight="1" thickBot="1">
      <c r="A7" s="83"/>
      <c r="B7" s="80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82" t="s">
        <v>15</v>
      </c>
      <c r="B8" s="79" t="s">
        <v>20</v>
      </c>
      <c r="C8" s="6" t="s">
        <v>3</v>
      </c>
      <c r="D8" s="29">
        <f t="shared" si="0"/>
        <v>5517.246999999999</v>
      </c>
      <c r="E8" s="52">
        <v>4102.54</v>
      </c>
      <c r="F8" s="21"/>
      <c r="G8" s="21">
        <f>27.418+1278.809+98.666+9.814</f>
        <v>1414.7069999999999</v>
      </c>
      <c r="H8" s="21"/>
      <c r="I8" s="29">
        <f t="shared" si="1"/>
        <v>6.23</v>
      </c>
      <c r="J8" s="21">
        <v>6.182</v>
      </c>
      <c r="K8" s="22">
        <v>0.048</v>
      </c>
    </row>
    <row r="9" spans="1:11" ht="32.25" customHeight="1" thickBot="1">
      <c r="A9" s="86"/>
      <c r="B9" s="87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82" t="s">
        <v>16</v>
      </c>
      <c r="B10" s="89" t="s">
        <v>24</v>
      </c>
      <c r="C10" s="6" t="s">
        <v>3</v>
      </c>
      <c r="D10" s="29">
        <f>SUM(E10:H10)</f>
        <v>1986.895</v>
      </c>
      <c r="E10" s="21">
        <v>1786.31</v>
      </c>
      <c r="F10" s="21">
        <v>199.455</v>
      </c>
      <c r="G10" s="21">
        <v>1.13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88"/>
      <c r="B11" s="90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8"/>
      <c r="B12" s="91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83"/>
      <c r="B13" s="73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78" t="s">
        <v>17</v>
      </c>
      <c r="B14" s="79" t="s">
        <v>21</v>
      </c>
      <c r="C14" s="6" t="s">
        <v>3</v>
      </c>
      <c r="D14" s="29">
        <f t="shared" si="0"/>
        <v>616.678</v>
      </c>
      <c r="E14" s="21"/>
      <c r="F14" s="21"/>
      <c r="G14" s="53">
        <v>616.678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71"/>
      <c r="B15" s="80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78" t="s">
        <v>18</v>
      </c>
      <c r="B16" s="81" t="s">
        <v>22</v>
      </c>
      <c r="C16" s="6" t="s">
        <v>3</v>
      </c>
      <c r="D16" s="29">
        <f t="shared" si="0"/>
        <v>3079.3441199999997</v>
      </c>
      <c r="E16" s="52">
        <v>1647.664</v>
      </c>
      <c r="F16" s="21"/>
      <c r="G16" s="52">
        <f>1641.835*0.872</f>
        <v>1431.68012</v>
      </c>
      <c r="H16" s="21"/>
      <c r="I16" s="29">
        <f t="shared" si="1"/>
        <v>4.29</v>
      </c>
      <c r="J16" s="21">
        <v>2.266</v>
      </c>
      <c r="K16" s="54">
        <f>ROUND(2.321*0.872,3)</f>
        <v>2.024</v>
      </c>
    </row>
    <row r="17" spans="1:11" ht="33.75" customHeight="1" thickBot="1">
      <c r="A17" s="70"/>
      <c r="B17" s="72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82" t="s">
        <v>18</v>
      </c>
      <c r="B18" s="84" t="s">
        <v>26</v>
      </c>
      <c r="C18" s="6" t="s">
        <v>3</v>
      </c>
      <c r="D18" s="29">
        <f t="shared" si="0"/>
        <v>210.15488000000002</v>
      </c>
      <c r="E18" s="21"/>
      <c r="F18" s="21"/>
      <c r="G18" s="52">
        <f>1641.835*0.128</f>
        <v>210.15488000000002</v>
      </c>
      <c r="H18" s="21"/>
      <c r="I18" s="29">
        <f t="shared" si="1"/>
        <v>0.297</v>
      </c>
      <c r="J18" s="21"/>
      <c r="K18" s="22">
        <f>ROUND(2.321*0.128,3)</f>
        <v>0.297</v>
      </c>
    </row>
    <row r="19" spans="1:11" ht="32.25" customHeight="1" thickBot="1">
      <c r="A19" s="83"/>
      <c r="B19" s="85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70" t="s">
        <v>19</v>
      </c>
      <c r="B20" s="72" t="s">
        <v>22</v>
      </c>
      <c r="C20" s="5" t="s">
        <v>3</v>
      </c>
      <c r="D20" s="33">
        <f t="shared" si="0"/>
        <v>1074.823</v>
      </c>
      <c r="E20" s="40">
        <v>939.394</v>
      </c>
      <c r="F20" s="24"/>
      <c r="G20" s="41">
        <v>135.429</v>
      </c>
      <c r="H20" s="24"/>
      <c r="I20" s="33">
        <f t="shared" si="1"/>
        <v>1.574</v>
      </c>
      <c r="J20" s="41">
        <v>1.341</v>
      </c>
      <c r="K20" s="25">
        <v>0.233</v>
      </c>
    </row>
    <row r="21" spans="1:11" ht="30" customHeight="1" thickBot="1">
      <c r="A21" s="71"/>
      <c r="B21" s="73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74" t="s">
        <v>28</v>
      </c>
      <c r="B22" s="76" t="s">
        <v>29</v>
      </c>
      <c r="C22" s="5" t="s">
        <v>3</v>
      </c>
      <c r="D22" s="33">
        <f t="shared" si="0"/>
        <v>12710.624</v>
      </c>
      <c r="E22" s="40">
        <v>10965.302</v>
      </c>
      <c r="F22" s="24"/>
      <c r="G22" s="55">
        <v>1745.3220000000001</v>
      </c>
      <c r="H22" s="24"/>
      <c r="I22" s="33">
        <f>SUM(J22:K22)</f>
        <v>0</v>
      </c>
      <c r="J22" s="41"/>
      <c r="K22" s="25"/>
    </row>
    <row r="23" spans="1:11" ht="30.75" customHeight="1" thickBot="1">
      <c r="A23" s="75"/>
      <c r="B23" s="77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>SUM(J23:K23)</f>
        <v>0</v>
      </c>
      <c r="J23" s="27"/>
      <c r="K23" s="32"/>
    </row>
    <row r="24" spans="1:11" ht="21" customHeight="1">
      <c r="A24" s="74" t="s">
        <v>30</v>
      </c>
      <c r="B24" s="76" t="s">
        <v>31</v>
      </c>
      <c r="C24" s="42" t="s">
        <v>3</v>
      </c>
      <c r="D24" s="33">
        <f>SUM(E24:H24)</f>
        <v>1210.667</v>
      </c>
      <c r="E24" s="40"/>
      <c r="F24" s="24"/>
      <c r="G24" s="40">
        <v>1210.667</v>
      </c>
      <c r="H24" s="24"/>
      <c r="I24" s="33">
        <f>SUM(J24:K24)</f>
        <v>1.706</v>
      </c>
      <c r="J24" s="41"/>
      <c r="K24" s="25">
        <v>1.706</v>
      </c>
    </row>
    <row r="25" spans="1:11" ht="30.75" customHeight="1" thickBot="1">
      <c r="A25" s="75"/>
      <c r="B25" s="77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>SUM(J25:K25)</f>
        <v>0</v>
      </c>
      <c r="J25" s="27"/>
      <c r="K25" s="32"/>
    </row>
    <row r="27" ht="15">
      <c r="F27" s="37"/>
    </row>
  </sheetData>
  <sheetProtection/>
  <mergeCells count="29"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6:A7"/>
    <mergeCell ref="B6:B7"/>
    <mergeCell ref="A8:A9"/>
    <mergeCell ref="B8:B9"/>
    <mergeCell ref="A10:A13"/>
    <mergeCell ref="B10:B11"/>
    <mergeCell ref="B12:B13"/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zoomScale="85" zoomScaleNormal="85" zoomScalePageLayoutView="0" workbookViewId="0" topLeftCell="A1">
      <selection activeCell="D16" sqref="D16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92" t="s">
        <v>5</v>
      </c>
      <c r="B1" s="93"/>
      <c r="C1" s="93"/>
      <c r="D1" s="93"/>
      <c r="E1" s="93"/>
      <c r="F1" s="93"/>
      <c r="G1" s="93"/>
      <c r="H1" s="93"/>
      <c r="I1" s="93"/>
      <c r="J1" s="93"/>
      <c r="K1" s="94"/>
    </row>
    <row r="2" spans="1:11" ht="25.5" customHeight="1" thickBot="1">
      <c r="A2" s="28" t="s">
        <v>35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95" t="s">
        <v>13</v>
      </c>
      <c r="B3" s="98" t="s">
        <v>6</v>
      </c>
      <c r="C3" s="98" t="s">
        <v>8</v>
      </c>
      <c r="D3" s="101" t="s">
        <v>7</v>
      </c>
      <c r="E3" s="102"/>
      <c r="F3" s="102"/>
      <c r="G3" s="102"/>
      <c r="H3" s="103"/>
      <c r="I3" s="101" t="s">
        <v>27</v>
      </c>
      <c r="J3" s="102"/>
      <c r="K3" s="104"/>
    </row>
    <row r="4" spans="1:11" ht="18.75" customHeight="1">
      <c r="A4" s="96"/>
      <c r="B4" s="99"/>
      <c r="C4" s="99"/>
      <c r="D4" s="105" t="s">
        <v>10</v>
      </c>
      <c r="E4" s="107" t="s">
        <v>11</v>
      </c>
      <c r="F4" s="108"/>
      <c r="G4" s="109"/>
      <c r="H4" s="58"/>
      <c r="I4" s="110" t="s">
        <v>10</v>
      </c>
      <c r="J4" s="110" t="s">
        <v>11</v>
      </c>
      <c r="K4" s="112"/>
    </row>
    <row r="5" spans="1:11" ht="19.5" customHeight="1" thickBot="1">
      <c r="A5" s="97"/>
      <c r="B5" s="100"/>
      <c r="C5" s="100"/>
      <c r="D5" s="106"/>
      <c r="E5" s="3" t="s">
        <v>0</v>
      </c>
      <c r="F5" s="3" t="s">
        <v>9</v>
      </c>
      <c r="G5" s="4" t="s">
        <v>1</v>
      </c>
      <c r="H5" s="4" t="s">
        <v>2</v>
      </c>
      <c r="I5" s="111"/>
      <c r="J5" s="16" t="s">
        <v>0</v>
      </c>
      <c r="K5" s="19" t="s">
        <v>23</v>
      </c>
    </row>
    <row r="6" spans="1:11" ht="19.5" customHeight="1">
      <c r="A6" s="82" t="s">
        <v>14</v>
      </c>
      <c r="B6" s="79" t="s">
        <v>12</v>
      </c>
      <c r="C6" s="6" t="s">
        <v>3</v>
      </c>
      <c r="D6" s="29">
        <f aca="true" t="shared" si="0" ref="D6:D23">SUM(E6:H6)</f>
        <v>0</v>
      </c>
      <c r="E6" s="7"/>
      <c r="F6" s="7"/>
      <c r="G6" s="51">
        <v>0</v>
      </c>
      <c r="H6" s="8"/>
      <c r="I6" s="10">
        <f aca="true" t="shared" si="1" ref="I6:I21">SUM(J6:K6)</f>
        <v>0</v>
      </c>
      <c r="J6" s="11"/>
      <c r="K6" s="20"/>
    </row>
    <row r="7" spans="1:11" ht="33.75" customHeight="1" thickBot="1">
      <c r="A7" s="83"/>
      <c r="B7" s="80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82" t="s">
        <v>15</v>
      </c>
      <c r="B8" s="79" t="s">
        <v>20</v>
      </c>
      <c r="C8" s="6" t="s">
        <v>3</v>
      </c>
      <c r="D8" s="29">
        <f t="shared" si="0"/>
        <v>6067.347</v>
      </c>
      <c r="E8" s="52">
        <v>4693.503</v>
      </c>
      <c r="F8" s="21"/>
      <c r="G8" s="21">
        <f>27.743+1249.103+81.779+7.581+7.638</f>
        <v>1373.8439999999998</v>
      </c>
      <c r="H8" s="21"/>
      <c r="I8" s="29">
        <f t="shared" si="1"/>
        <v>7.380000000000001</v>
      </c>
      <c r="J8" s="21">
        <v>7.331</v>
      </c>
      <c r="K8" s="22">
        <v>0.049</v>
      </c>
    </row>
    <row r="9" spans="1:11" ht="32.25" customHeight="1" thickBot="1">
      <c r="A9" s="86"/>
      <c r="B9" s="87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82" t="s">
        <v>16</v>
      </c>
      <c r="B10" s="89" t="s">
        <v>24</v>
      </c>
      <c r="C10" s="6" t="s">
        <v>3</v>
      </c>
      <c r="D10" s="29">
        <f>SUM(E10:H10)</f>
        <v>5514.547</v>
      </c>
      <c r="E10" s="21">
        <v>5375.766</v>
      </c>
      <c r="F10" s="21">
        <v>135.33</v>
      </c>
      <c r="G10" s="21">
        <v>3.451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88"/>
      <c r="B11" s="90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8"/>
      <c r="B12" s="91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83"/>
      <c r="B13" s="73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78" t="s">
        <v>17</v>
      </c>
      <c r="B14" s="79" t="s">
        <v>21</v>
      </c>
      <c r="C14" s="6" t="s">
        <v>3</v>
      </c>
      <c r="D14" s="29">
        <f t="shared" si="0"/>
        <v>585.623</v>
      </c>
      <c r="E14" s="21"/>
      <c r="F14" s="21"/>
      <c r="G14" s="53">
        <v>585.623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71"/>
      <c r="B15" s="80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78" t="s">
        <v>18</v>
      </c>
      <c r="B16" s="81" t="s">
        <v>22</v>
      </c>
      <c r="C16" s="6" t="s">
        <v>3</v>
      </c>
      <c r="D16" s="29">
        <f t="shared" si="0"/>
        <v>3056.850096</v>
      </c>
      <c r="E16" s="52">
        <v>1610.448</v>
      </c>
      <c r="F16" s="21"/>
      <c r="G16" s="52">
        <f>1658.718*0.872</f>
        <v>1446.402096</v>
      </c>
      <c r="H16" s="21"/>
      <c r="I16" s="29">
        <f t="shared" si="1"/>
        <v>4.393</v>
      </c>
      <c r="J16" s="21">
        <v>2.296</v>
      </c>
      <c r="K16" s="54">
        <f>ROUND(2.405*0.872,3)</f>
        <v>2.097</v>
      </c>
    </row>
    <row r="17" spans="1:11" ht="33.75" customHeight="1" thickBot="1">
      <c r="A17" s="70"/>
      <c r="B17" s="72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82" t="s">
        <v>18</v>
      </c>
      <c r="B18" s="84" t="s">
        <v>26</v>
      </c>
      <c r="C18" s="6" t="s">
        <v>3</v>
      </c>
      <c r="D18" s="29">
        <f t="shared" si="0"/>
        <v>212.31590400000002</v>
      </c>
      <c r="E18" s="21"/>
      <c r="F18" s="21"/>
      <c r="G18" s="52">
        <f>1658.718*0.128</f>
        <v>212.31590400000002</v>
      </c>
      <c r="H18" s="21"/>
      <c r="I18" s="29">
        <f t="shared" si="1"/>
        <v>0.308</v>
      </c>
      <c r="J18" s="21"/>
      <c r="K18" s="22">
        <f>ROUND(2.405*0.128,3)</f>
        <v>0.308</v>
      </c>
    </row>
    <row r="19" spans="1:11" ht="32.25" customHeight="1" thickBot="1">
      <c r="A19" s="83"/>
      <c r="B19" s="85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70" t="s">
        <v>19</v>
      </c>
      <c r="B20" s="72" t="s">
        <v>22</v>
      </c>
      <c r="C20" s="5" t="s">
        <v>3</v>
      </c>
      <c r="D20" s="33">
        <f t="shared" si="0"/>
        <v>1160.366</v>
      </c>
      <c r="E20" s="40">
        <v>1007.478</v>
      </c>
      <c r="F20" s="24"/>
      <c r="G20" s="41">
        <v>152.88799999999998</v>
      </c>
      <c r="H20" s="24"/>
      <c r="I20" s="33">
        <f t="shared" si="1"/>
        <v>1.693</v>
      </c>
      <c r="J20" s="41">
        <v>1.46</v>
      </c>
      <c r="K20" s="25">
        <v>0.233</v>
      </c>
    </row>
    <row r="21" spans="1:11" ht="30" customHeight="1" thickBot="1">
      <c r="A21" s="71"/>
      <c r="B21" s="73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74" t="s">
        <v>28</v>
      </c>
      <c r="B22" s="76" t="s">
        <v>29</v>
      </c>
      <c r="C22" s="5" t="s">
        <v>3</v>
      </c>
      <c r="D22" s="33">
        <f t="shared" si="0"/>
        <v>11072.937</v>
      </c>
      <c r="E22" s="40">
        <v>9409.428</v>
      </c>
      <c r="F22" s="24"/>
      <c r="G22" s="55">
        <v>1663.509</v>
      </c>
      <c r="H22" s="24"/>
      <c r="I22" s="33">
        <f>SUM(J22:K22)</f>
        <v>0</v>
      </c>
      <c r="J22" s="41"/>
      <c r="K22" s="25"/>
    </row>
    <row r="23" spans="1:11" ht="30.75" customHeight="1" thickBot="1">
      <c r="A23" s="75"/>
      <c r="B23" s="77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>SUM(J23:K23)</f>
        <v>0</v>
      </c>
      <c r="J23" s="27"/>
      <c r="K23" s="32"/>
    </row>
    <row r="24" spans="1:11" ht="21" customHeight="1">
      <c r="A24" s="74" t="s">
        <v>30</v>
      </c>
      <c r="B24" s="76" t="s">
        <v>31</v>
      </c>
      <c r="C24" s="42" t="s">
        <v>3</v>
      </c>
      <c r="D24" s="33">
        <f>SUM(E24:H24)</f>
        <v>1182.839</v>
      </c>
      <c r="E24" s="40"/>
      <c r="F24" s="24"/>
      <c r="G24" s="40">
        <v>1182.839</v>
      </c>
      <c r="H24" s="24"/>
      <c r="I24" s="33">
        <f>SUM(J24:K24)</f>
        <v>1.704</v>
      </c>
      <c r="J24" s="41"/>
      <c r="K24" s="25">
        <v>1.704</v>
      </c>
    </row>
    <row r="25" spans="1:11" ht="30.75" customHeight="1" thickBot="1">
      <c r="A25" s="75"/>
      <c r="B25" s="77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>SUM(J25:K25)</f>
        <v>0</v>
      </c>
      <c r="J25" s="27"/>
      <c r="K25" s="32"/>
    </row>
    <row r="27" ht="15">
      <c r="F27" s="37"/>
    </row>
  </sheetData>
  <sheetProtection/>
  <mergeCells count="29"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  <mergeCell ref="A6:A7"/>
    <mergeCell ref="B6:B7"/>
    <mergeCell ref="A8:A9"/>
    <mergeCell ref="B8:B9"/>
    <mergeCell ref="A10:A13"/>
    <mergeCell ref="B10:B11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zoomScale="85" zoomScaleNormal="85" zoomScalePageLayoutView="0" workbookViewId="0" topLeftCell="A1">
      <selection activeCell="A2" sqref="A2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92" t="s">
        <v>5</v>
      </c>
      <c r="B1" s="93"/>
      <c r="C1" s="93"/>
      <c r="D1" s="93"/>
      <c r="E1" s="93"/>
      <c r="F1" s="93"/>
      <c r="G1" s="93"/>
      <c r="H1" s="93"/>
      <c r="I1" s="93"/>
      <c r="J1" s="93"/>
      <c r="K1" s="94"/>
    </row>
    <row r="2" spans="1:11" ht="25.5" customHeight="1" thickBot="1">
      <c r="A2" s="28" t="s">
        <v>36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95" t="s">
        <v>13</v>
      </c>
      <c r="B3" s="98" t="s">
        <v>6</v>
      </c>
      <c r="C3" s="98" t="s">
        <v>8</v>
      </c>
      <c r="D3" s="101" t="s">
        <v>7</v>
      </c>
      <c r="E3" s="102"/>
      <c r="F3" s="102"/>
      <c r="G3" s="102"/>
      <c r="H3" s="103"/>
      <c r="I3" s="101" t="s">
        <v>27</v>
      </c>
      <c r="J3" s="102"/>
      <c r="K3" s="104"/>
    </row>
    <row r="4" spans="1:11" ht="18.75" customHeight="1">
      <c r="A4" s="96"/>
      <c r="B4" s="99"/>
      <c r="C4" s="99"/>
      <c r="D4" s="105" t="s">
        <v>10</v>
      </c>
      <c r="E4" s="107" t="s">
        <v>11</v>
      </c>
      <c r="F4" s="108"/>
      <c r="G4" s="109"/>
      <c r="H4" s="59"/>
      <c r="I4" s="110" t="s">
        <v>10</v>
      </c>
      <c r="J4" s="110" t="s">
        <v>11</v>
      </c>
      <c r="K4" s="112"/>
    </row>
    <row r="5" spans="1:11" ht="19.5" customHeight="1" thickBot="1">
      <c r="A5" s="97"/>
      <c r="B5" s="100"/>
      <c r="C5" s="100"/>
      <c r="D5" s="106"/>
      <c r="E5" s="3" t="s">
        <v>0</v>
      </c>
      <c r="F5" s="3" t="s">
        <v>9</v>
      </c>
      <c r="G5" s="4" t="s">
        <v>1</v>
      </c>
      <c r="H5" s="4" t="s">
        <v>2</v>
      </c>
      <c r="I5" s="111"/>
      <c r="J5" s="16" t="s">
        <v>0</v>
      </c>
      <c r="K5" s="19" t="s">
        <v>23</v>
      </c>
    </row>
    <row r="6" spans="1:11" ht="19.5" customHeight="1">
      <c r="A6" s="82" t="s">
        <v>14</v>
      </c>
      <c r="B6" s="79" t="s">
        <v>12</v>
      </c>
      <c r="C6" s="6" t="s">
        <v>3</v>
      </c>
      <c r="D6" s="29">
        <f aca="true" t="shared" si="0" ref="D6:D23">SUM(E6:H6)</f>
        <v>0</v>
      </c>
      <c r="E6" s="7"/>
      <c r="F6" s="7"/>
      <c r="G6" s="51">
        <v>0</v>
      </c>
      <c r="H6" s="8"/>
      <c r="I6" s="10">
        <f aca="true" t="shared" si="1" ref="I6:I21">SUM(J6:K6)</f>
        <v>0</v>
      </c>
      <c r="J6" s="11"/>
      <c r="K6" s="20"/>
    </row>
    <row r="7" spans="1:11" ht="33.75" customHeight="1" thickBot="1">
      <c r="A7" s="83"/>
      <c r="B7" s="80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82" t="s">
        <v>15</v>
      </c>
      <c r="B8" s="79" t="s">
        <v>20</v>
      </c>
      <c r="C8" s="6" t="s">
        <v>3</v>
      </c>
      <c r="D8" s="29">
        <f t="shared" si="0"/>
        <v>7736.15</v>
      </c>
      <c r="E8" s="52">
        <v>6314.758</v>
      </c>
      <c r="F8" s="21"/>
      <c r="G8" s="21">
        <f>25.306+1299.335+76.881+12.294+7.576</f>
        <v>1421.3920000000003</v>
      </c>
      <c r="H8" s="21"/>
      <c r="I8" s="29">
        <f t="shared" si="1"/>
        <v>11.375</v>
      </c>
      <c r="J8" s="21">
        <v>11.335</v>
      </c>
      <c r="K8" s="22">
        <v>0.04</v>
      </c>
    </row>
    <row r="9" spans="1:11" ht="32.25" customHeight="1" thickBot="1">
      <c r="A9" s="86"/>
      <c r="B9" s="87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82" t="s">
        <v>16</v>
      </c>
      <c r="B10" s="89" t="s">
        <v>24</v>
      </c>
      <c r="C10" s="6" t="s">
        <v>3</v>
      </c>
      <c r="D10" s="29">
        <f>SUM(E10:H10)</f>
        <v>14160.456</v>
      </c>
      <c r="E10" s="21">
        <v>14024.881</v>
      </c>
      <c r="F10" s="21">
        <v>132.065</v>
      </c>
      <c r="G10" s="21">
        <v>3.51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88"/>
      <c r="B11" s="90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8"/>
      <c r="B12" s="91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83"/>
      <c r="B13" s="73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78" t="s">
        <v>17</v>
      </c>
      <c r="B14" s="79" t="s">
        <v>21</v>
      </c>
      <c r="C14" s="6" t="s">
        <v>3</v>
      </c>
      <c r="D14" s="29">
        <f t="shared" si="0"/>
        <v>607.376</v>
      </c>
      <c r="E14" s="21"/>
      <c r="F14" s="21"/>
      <c r="G14" s="53">
        <v>607.376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71"/>
      <c r="B15" s="80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78" t="s">
        <v>18</v>
      </c>
      <c r="B16" s="81" t="s">
        <v>22</v>
      </c>
      <c r="C16" s="6" t="s">
        <v>3</v>
      </c>
      <c r="D16" s="29">
        <f t="shared" si="0"/>
        <v>3208.5065999999997</v>
      </c>
      <c r="E16" s="52">
        <v>1675.378</v>
      </c>
      <c r="F16" s="21"/>
      <c r="G16" s="52">
        <f>1758.175*0.872</f>
        <v>1533.1286</v>
      </c>
      <c r="H16" s="21"/>
      <c r="I16" s="29">
        <f t="shared" si="1"/>
        <v>4.45</v>
      </c>
      <c r="J16" s="21">
        <v>2.326</v>
      </c>
      <c r="K16" s="54">
        <f>ROUND(2.436*0.872,3)</f>
        <v>2.124</v>
      </c>
    </row>
    <row r="17" spans="1:11" ht="33.75" customHeight="1" thickBot="1">
      <c r="A17" s="70"/>
      <c r="B17" s="72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82" t="s">
        <v>18</v>
      </c>
      <c r="B18" s="84" t="s">
        <v>26</v>
      </c>
      <c r="C18" s="6" t="s">
        <v>3</v>
      </c>
      <c r="D18" s="29">
        <f t="shared" si="0"/>
        <v>225.0464</v>
      </c>
      <c r="E18" s="21"/>
      <c r="F18" s="21"/>
      <c r="G18" s="52">
        <f>1758.175*0.128</f>
        <v>225.0464</v>
      </c>
      <c r="H18" s="21"/>
      <c r="I18" s="29">
        <f t="shared" si="1"/>
        <v>0.312</v>
      </c>
      <c r="J18" s="21"/>
      <c r="K18" s="22">
        <f>ROUND(2.436*0.128,3)</f>
        <v>0.312</v>
      </c>
    </row>
    <row r="19" spans="1:11" ht="32.25" customHeight="1" thickBot="1">
      <c r="A19" s="83"/>
      <c r="B19" s="85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70" t="s">
        <v>19</v>
      </c>
      <c r="B20" s="72" t="s">
        <v>22</v>
      </c>
      <c r="C20" s="5" t="s">
        <v>3</v>
      </c>
      <c r="D20" s="33">
        <f t="shared" si="0"/>
        <v>1237.8506</v>
      </c>
      <c r="E20" s="40">
        <v>1016.9556</v>
      </c>
      <c r="F20" s="24"/>
      <c r="G20" s="41">
        <v>220.89499999999998</v>
      </c>
      <c r="H20" s="24"/>
      <c r="I20" s="33">
        <f t="shared" si="1"/>
        <v>1.698</v>
      </c>
      <c r="J20" s="41">
        <v>1.402</v>
      </c>
      <c r="K20" s="25">
        <v>0.296</v>
      </c>
    </row>
    <row r="21" spans="1:11" ht="30" customHeight="1" thickBot="1">
      <c r="A21" s="71"/>
      <c r="B21" s="73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74" t="s">
        <v>28</v>
      </c>
      <c r="B22" s="76" t="s">
        <v>29</v>
      </c>
      <c r="C22" s="5" t="s">
        <v>3</v>
      </c>
      <c r="D22" s="33">
        <f t="shared" si="0"/>
        <v>10329.369</v>
      </c>
      <c r="E22" s="40">
        <v>8775.733</v>
      </c>
      <c r="F22" s="24"/>
      <c r="G22" s="55">
        <v>1553.636</v>
      </c>
      <c r="H22" s="24"/>
      <c r="I22" s="33">
        <f>SUM(J22:K22)</f>
        <v>0</v>
      </c>
      <c r="J22" s="41"/>
      <c r="K22" s="25"/>
    </row>
    <row r="23" spans="1:11" ht="30.75" customHeight="1" thickBot="1">
      <c r="A23" s="75"/>
      <c r="B23" s="77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>SUM(J23:K23)</f>
        <v>0</v>
      </c>
      <c r="J23" s="27"/>
      <c r="K23" s="32"/>
    </row>
    <row r="24" spans="1:11" ht="21" customHeight="1">
      <c r="A24" s="74" t="s">
        <v>30</v>
      </c>
      <c r="B24" s="76" t="s">
        <v>31</v>
      </c>
      <c r="C24" s="42" t="s">
        <v>3</v>
      </c>
      <c r="D24" s="33">
        <f>SUM(E24:H24)</f>
        <v>1226.787</v>
      </c>
      <c r="E24" s="40"/>
      <c r="F24" s="24"/>
      <c r="G24" s="40">
        <v>1226.787</v>
      </c>
      <c r="H24" s="24"/>
      <c r="I24" s="33">
        <f>SUM(J24:K24)</f>
        <v>1.749</v>
      </c>
      <c r="J24" s="41"/>
      <c r="K24" s="25">
        <v>1.749</v>
      </c>
    </row>
    <row r="25" spans="1:11" ht="30.75" customHeight="1" thickBot="1">
      <c r="A25" s="75"/>
      <c r="B25" s="77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>SUM(J25:K25)</f>
        <v>0</v>
      </c>
      <c r="J25" s="27"/>
      <c r="K25" s="32"/>
    </row>
    <row r="27" ht="15">
      <c r="F27" s="37"/>
    </row>
  </sheetData>
  <sheetProtection/>
  <mergeCells count="29"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  <mergeCell ref="A6:A7"/>
    <mergeCell ref="B6:B7"/>
    <mergeCell ref="A8:A9"/>
    <mergeCell ref="B8:B9"/>
    <mergeCell ref="A10:A13"/>
    <mergeCell ref="B10:B11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zoomScale="85" zoomScaleNormal="85" zoomScalePageLayoutView="0" workbookViewId="0" topLeftCell="A1">
      <selection activeCell="K25" sqref="D6:K25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92" t="s">
        <v>5</v>
      </c>
      <c r="B1" s="93"/>
      <c r="C1" s="93"/>
      <c r="D1" s="93"/>
      <c r="E1" s="93"/>
      <c r="F1" s="93"/>
      <c r="G1" s="93"/>
      <c r="H1" s="93"/>
      <c r="I1" s="93"/>
      <c r="J1" s="93"/>
      <c r="K1" s="94"/>
    </row>
    <row r="2" spans="1:11" ht="25.5" customHeight="1" thickBot="1">
      <c r="A2" s="28" t="s">
        <v>37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95" t="s">
        <v>13</v>
      </c>
      <c r="B3" s="98" t="s">
        <v>6</v>
      </c>
      <c r="C3" s="98" t="s">
        <v>8</v>
      </c>
      <c r="D3" s="101" t="s">
        <v>7</v>
      </c>
      <c r="E3" s="102"/>
      <c r="F3" s="102"/>
      <c r="G3" s="102"/>
      <c r="H3" s="103"/>
      <c r="I3" s="101" t="s">
        <v>27</v>
      </c>
      <c r="J3" s="102"/>
      <c r="K3" s="104"/>
    </row>
    <row r="4" spans="1:11" ht="18.75" customHeight="1">
      <c r="A4" s="96"/>
      <c r="B4" s="99"/>
      <c r="C4" s="99"/>
      <c r="D4" s="105" t="s">
        <v>10</v>
      </c>
      <c r="E4" s="107" t="s">
        <v>11</v>
      </c>
      <c r="F4" s="108"/>
      <c r="G4" s="109"/>
      <c r="H4" s="60"/>
      <c r="I4" s="110" t="s">
        <v>10</v>
      </c>
      <c r="J4" s="110" t="s">
        <v>11</v>
      </c>
      <c r="K4" s="112"/>
    </row>
    <row r="5" spans="1:11" ht="19.5" customHeight="1" thickBot="1">
      <c r="A5" s="97"/>
      <c r="B5" s="100"/>
      <c r="C5" s="100"/>
      <c r="D5" s="106"/>
      <c r="E5" s="3" t="s">
        <v>0</v>
      </c>
      <c r="F5" s="3" t="s">
        <v>9</v>
      </c>
      <c r="G5" s="4" t="s">
        <v>1</v>
      </c>
      <c r="H5" s="4" t="s">
        <v>2</v>
      </c>
      <c r="I5" s="111"/>
      <c r="J5" s="16" t="s">
        <v>0</v>
      </c>
      <c r="K5" s="19" t="s">
        <v>23</v>
      </c>
    </row>
    <row r="6" spans="1:11" ht="19.5" customHeight="1">
      <c r="A6" s="82" t="s">
        <v>14</v>
      </c>
      <c r="B6" s="79" t="s">
        <v>12</v>
      </c>
      <c r="C6" s="6" t="s">
        <v>3</v>
      </c>
      <c r="D6" s="29">
        <f aca="true" t="shared" si="0" ref="D6:D23">SUM(E6:H6)</f>
        <v>0</v>
      </c>
      <c r="E6" s="52"/>
      <c r="F6" s="52"/>
      <c r="G6" s="51">
        <v>0</v>
      </c>
      <c r="H6" s="51"/>
      <c r="I6" s="29">
        <f aca="true" t="shared" si="1" ref="I6:I21">SUM(J6:K6)</f>
        <v>0</v>
      </c>
      <c r="J6" s="62"/>
      <c r="K6" s="63"/>
    </row>
    <row r="7" spans="1:11" ht="33.75" customHeight="1" thickBot="1">
      <c r="A7" s="83"/>
      <c r="B7" s="80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82" t="s">
        <v>15</v>
      </c>
      <c r="B8" s="79" t="s">
        <v>20</v>
      </c>
      <c r="C8" s="6" t="s">
        <v>3</v>
      </c>
      <c r="D8" s="29">
        <f t="shared" si="0"/>
        <v>5656.633</v>
      </c>
      <c r="E8" s="52">
        <v>4445.345</v>
      </c>
      <c r="F8" s="21"/>
      <c r="G8" s="21">
        <f>35.04+1086.654+76.443+8.227+4.924</f>
        <v>1211.288</v>
      </c>
      <c r="H8" s="21"/>
      <c r="I8" s="29">
        <f t="shared" si="1"/>
        <v>6.79</v>
      </c>
      <c r="J8" s="21">
        <v>6.718</v>
      </c>
      <c r="K8" s="22">
        <v>0.072</v>
      </c>
    </row>
    <row r="9" spans="1:11" ht="32.25" customHeight="1" thickBot="1">
      <c r="A9" s="86"/>
      <c r="B9" s="87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82" t="s">
        <v>16</v>
      </c>
      <c r="B10" s="89" t="s">
        <v>24</v>
      </c>
      <c r="C10" s="6" t="s">
        <v>3</v>
      </c>
      <c r="D10" s="29">
        <f>SUM(E10:H10)</f>
        <v>9238.189999999999</v>
      </c>
      <c r="E10" s="21">
        <v>9063.81</v>
      </c>
      <c r="F10" s="21">
        <v>167.75</v>
      </c>
      <c r="G10" s="21">
        <v>6.63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88"/>
      <c r="B11" s="90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8"/>
      <c r="B12" s="91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83"/>
      <c r="B13" s="73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78" t="s">
        <v>17</v>
      </c>
      <c r="B14" s="79" t="s">
        <v>21</v>
      </c>
      <c r="C14" s="6" t="s">
        <v>3</v>
      </c>
      <c r="D14" s="29">
        <f t="shared" si="0"/>
        <v>610.2350000000001</v>
      </c>
      <c r="E14" s="21"/>
      <c r="F14" s="21"/>
      <c r="G14" s="53">
        <v>610.2350000000001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71"/>
      <c r="B15" s="80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78" t="s">
        <v>18</v>
      </c>
      <c r="B16" s="81" t="s">
        <v>22</v>
      </c>
      <c r="C16" s="6" t="s">
        <v>3</v>
      </c>
      <c r="D16" s="29">
        <f t="shared" si="0"/>
        <v>3304.19064</v>
      </c>
      <c r="E16" s="52">
        <v>1724.022</v>
      </c>
      <c r="F16" s="21"/>
      <c r="G16" s="52">
        <f>1812.12*0.872</f>
        <v>1580.1686399999999</v>
      </c>
      <c r="H16" s="21"/>
      <c r="I16" s="29">
        <f t="shared" si="1"/>
        <v>4.7059999999999995</v>
      </c>
      <c r="J16" s="21">
        <v>2.491</v>
      </c>
      <c r="K16" s="54">
        <f>ROUND(2.54*0.872,3)</f>
        <v>2.215</v>
      </c>
    </row>
    <row r="17" spans="1:11" ht="33.75" customHeight="1" thickBot="1">
      <c r="A17" s="70"/>
      <c r="B17" s="72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82" t="s">
        <v>18</v>
      </c>
      <c r="B18" s="84" t="s">
        <v>26</v>
      </c>
      <c r="C18" s="6" t="s">
        <v>3</v>
      </c>
      <c r="D18" s="29">
        <f t="shared" si="0"/>
        <v>231.95136</v>
      </c>
      <c r="E18" s="21"/>
      <c r="F18" s="21"/>
      <c r="G18" s="52">
        <f>1812.12*0.128</f>
        <v>231.95136</v>
      </c>
      <c r="H18" s="21"/>
      <c r="I18" s="29">
        <f t="shared" si="1"/>
        <v>0.325</v>
      </c>
      <c r="J18" s="21"/>
      <c r="K18" s="22">
        <f>ROUND(2.54*0.128,3)</f>
        <v>0.325</v>
      </c>
    </row>
    <row r="19" spans="1:11" ht="32.25" customHeight="1" thickBot="1">
      <c r="A19" s="83"/>
      <c r="B19" s="85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70" t="s">
        <v>19</v>
      </c>
      <c r="B20" s="72" t="s">
        <v>22</v>
      </c>
      <c r="C20" s="5" t="s">
        <v>3</v>
      </c>
      <c r="D20" s="33">
        <f t="shared" si="0"/>
        <v>1245.807</v>
      </c>
      <c r="E20" s="40">
        <v>1007.093</v>
      </c>
      <c r="F20" s="24"/>
      <c r="G20" s="41">
        <v>238.714</v>
      </c>
      <c r="H20" s="24"/>
      <c r="I20" s="33">
        <f t="shared" si="1"/>
        <v>1.83</v>
      </c>
      <c r="J20" s="41">
        <v>1.466</v>
      </c>
      <c r="K20" s="25">
        <v>0.364</v>
      </c>
    </row>
    <row r="21" spans="1:11" ht="30" customHeight="1" thickBot="1">
      <c r="A21" s="71"/>
      <c r="B21" s="73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74" t="s">
        <v>28</v>
      </c>
      <c r="B22" s="76" t="s">
        <v>29</v>
      </c>
      <c r="C22" s="5" t="s">
        <v>3</v>
      </c>
      <c r="D22" s="33">
        <f t="shared" si="0"/>
        <v>11023.427</v>
      </c>
      <c r="E22" s="40">
        <v>9353.666</v>
      </c>
      <c r="F22" s="24"/>
      <c r="G22" s="55">
        <v>1669.761</v>
      </c>
      <c r="H22" s="24"/>
      <c r="I22" s="33">
        <f>SUM(J22:K22)</f>
        <v>0</v>
      </c>
      <c r="J22" s="41"/>
      <c r="K22" s="25"/>
    </row>
    <row r="23" spans="1:11" ht="30.75" customHeight="1" thickBot="1">
      <c r="A23" s="75"/>
      <c r="B23" s="77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>SUM(J23:K23)</f>
        <v>0</v>
      </c>
      <c r="J23" s="27"/>
      <c r="K23" s="32"/>
    </row>
    <row r="24" spans="1:11" ht="21" customHeight="1">
      <c r="A24" s="74" t="s">
        <v>30</v>
      </c>
      <c r="B24" s="76" t="s">
        <v>31</v>
      </c>
      <c r="C24" s="42" t="s">
        <v>3</v>
      </c>
      <c r="D24" s="33">
        <f>SUM(E24:H24)</f>
        <v>1219.374</v>
      </c>
      <c r="E24" s="40"/>
      <c r="F24" s="24"/>
      <c r="G24" s="40">
        <v>1219.374</v>
      </c>
      <c r="H24" s="24"/>
      <c r="I24" s="33">
        <f>SUM(J24:K24)</f>
        <v>1.761</v>
      </c>
      <c r="J24" s="41"/>
      <c r="K24" s="25">
        <v>1.761</v>
      </c>
    </row>
    <row r="25" spans="1:11" ht="30.75" customHeight="1" thickBot="1">
      <c r="A25" s="75"/>
      <c r="B25" s="77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>SUM(J25:K25)</f>
        <v>0</v>
      </c>
      <c r="J25" s="27"/>
      <c r="K25" s="32"/>
    </row>
    <row r="27" ht="15">
      <c r="F27" s="37"/>
    </row>
  </sheetData>
  <sheetProtection/>
  <mergeCells count="29"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6:A7"/>
    <mergeCell ref="B6:B7"/>
    <mergeCell ref="A8:A9"/>
    <mergeCell ref="B8:B9"/>
    <mergeCell ref="A10:A13"/>
    <mergeCell ref="B10:B11"/>
    <mergeCell ref="B12:B13"/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zoomScale="85" zoomScaleNormal="85" zoomScalePageLayoutView="0" workbookViewId="0" topLeftCell="A1">
      <selection activeCell="H15" sqref="H15"/>
    </sheetView>
  </sheetViews>
  <sheetFormatPr defaultColWidth="8.8515625" defaultRowHeight="15"/>
  <cols>
    <col min="1" max="1" width="19.710937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92" t="s">
        <v>5</v>
      </c>
      <c r="B1" s="93"/>
      <c r="C1" s="93"/>
      <c r="D1" s="93"/>
      <c r="E1" s="93"/>
      <c r="F1" s="93"/>
      <c r="G1" s="93"/>
      <c r="H1" s="93"/>
      <c r="I1" s="93"/>
      <c r="J1" s="93"/>
      <c r="K1" s="94"/>
    </row>
    <row r="2" spans="1:11" ht="25.5" customHeight="1" thickBot="1">
      <c r="A2" s="28" t="s">
        <v>38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95" t="s">
        <v>13</v>
      </c>
      <c r="B3" s="98" t="s">
        <v>6</v>
      </c>
      <c r="C3" s="98" t="s">
        <v>8</v>
      </c>
      <c r="D3" s="101" t="s">
        <v>7</v>
      </c>
      <c r="E3" s="102"/>
      <c r="F3" s="102"/>
      <c r="G3" s="102"/>
      <c r="H3" s="103"/>
      <c r="I3" s="101" t="s">
        <v>27</v>
      </c>
      <c r="J3" s="102"/>
      <c r="K3" s="104"/>
    </row>
    <row r="4" spans="1:11" ht="18.75" customHeight="1">
      <c r="A4" s="96"/>
      <c r="B4" s="99"/>
      <c r="C4" s="99"/>
      <c r="D4" s="105" t="s">
        <v>10</v>
      </c>
      <c r="E4" s="107" t="s">
        <v>11</v>
      </c>
      <c r="F4" s="108"/>
      <c r="G4" s="109"/>
      <c r="H4" s="61"/>
      <c r="I4" s="110" t="s">
        <v>10</v>
      </c>
      <c r="J4" s="110" t="s">
        <v>11</v>
      </c>
      <c r="K4" s="112"/>
    </row>
    <row r="5" spans="1:11" ht="19.5" customHeight="1" thickBot="1">
      <c r="A5" s="97"/>
      <c r="B5" s="100"/>
      <c r="C5" s="100"/>
      <c r="D5" s="106"/>
      <c r="E5" s="3" t="s">
        <v>0</v>
      </c>
      <c r="F5" s="3" t="s">
        <v>9</v>
      </c>
      <c r="G5" s="4" t="s">
        <v>1</v>
      </c>
      <c r="H5" s="4" t="s">
        <v>2</v>
      </c>
      <c r="I5" s="111"/>
      <c r="J5" s="16" t="s">
        <v>0</v>
      </c>
      <c r="K5" s="19" t="s">
        <v>23</v>
      </c>
    </row>
    <row r="6" spans="1:11" ht="19.5" customHeight="1">
      <c r="A6" s="82" t="s">
        <v>14</v>
      </c>
      <c r="B6" s="79" t="s">
        <v>12</v>
      </c>
      <c r="C6" s="6" t="s">
        <v>3</v>
      </c>
      <c r="D6" s="29">
        <f aca="true" t="shared" si="0" ref="D6:D23">SUM(E6:H6)</f>
        <v>0</v>
      </c>
      <c r="E6" s="52"/>
      <c r="F6" s="52"/>
      <c r="G6" s="51">
        <v>0</v>
      </c>
      <c r="H6" s="51"/>
      <c r="I6" s="29">
        <f aca="true" t="shared" si="1" ref="I6:I21">SUM(J6:K6)</f>
        <v>0</v>
      </c>
      <c r="J6" s="62"/>
      <c r="K6" s="63"/>
    </row>
    <row r="7" spans="1:11" ht="33.75" customHeight="1" thickBot="1">
      <c r="A7" s="83"/>
      <c r="B7" s="80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82" t="s">
        <v>15</v>
      </c>
      <c r="B8" s="79" t="s">
        <v>20</v>
      </c>
      <c r="C8" s="6" t="s">
        <v>3</v>
      </c>
      <c r="D8" s="29">
        <f t="shared" si="0"/>
        <v>6768.114</v>
      </c>
      <c r="E8" s="52">
        <v>5501.213</v>
      </c>
      <c r="F8" s="21"/>
      <c r="G8" s="21">
        <f>38.861+1147.383+80.657</f>
        <v>1266.901</v>
      </c>
      <c r="H8" s="21"/>
      <c r="I8" s="29">
        <f t="shared" si="1"/>
        <v>8.148</v>
      </c>
      <c r="J8" s="21">
        <v>8.068</v>
      </c>
      <c r="K8" s="22">
        <v>0.08</v>
      </c>
    </row>
    <row r="9" spans="1:11" ht="32.25" customHeight="1" thickBot="1">
      <c r="A9" s="86"/>
      <c r="B9" s="87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82" t="s">
        <v>16</v>
      </c>
      <c r="B10" s="89" t="s">
        <v>24</v>
      </c>
      <c r="C10" s="6" t="s">
        <v>3</v>
      </c>
      <c r="D10" s="29">
        <f>SUM(E10:H10)</f>
        <v>11373.180999999999</v>
      </c>
      <c r="E10" s="21">
        <v>11171.737</v>
      </c>
      <c r="F10" s="21">
        <v>200.822</v>
      </c>
      <c r="G10" s="21">
        <v>0.622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88"/>
      <c r="B11" s="90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8"/>
      <c r="B12" s="91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83"/>
      <c r="B13" s="73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78" t="s">
        <v>17</v>
      </c>
      <c r="B14" s="79" t="s">
        <v>21</v>
      </c>
      <c r="C14" s="6" t="s">
        <v>3</v>
      </c>
      <c r="D14" s="29">
        <f t="shared" si="0"/>
        <v>642.431</v>
      </c>
      <c r="E14" s="21"/>
      <c r="F14" s="21"/>
      <c r="G14" s="53">
        <v>642.431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71"/>
      <c r="B15" s="80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78" t="s">
        <v>18</v>
      </c>
      <c r="B16" s="81" t="s">
        <v>22</v>
      </c>
      <c r="C16" s="6" t="s">
        <v>3</v>
      </c>
      <c r="D16" s="29">
        <f t="shared" si="0"/>
        <v>3474.830848</v>
      </c>
      <c r="E16" s="52">
        <v>1824.563</v>
      </c>
      <c r="F16" s="21"/>
      <c r="G16" s="52">
        <f>1892.509*0.872</f>
        <v>1650.267848</v>
      </c>
      <c r="H16" s="21"/>
      <c r="I16" s="29">
        <f t="shared" si="1"/>
        <v>4.896</v>
      </c>
      <c r="J16" s="21">
        <v>2.568</v>
      </c>
      <c r="K16" s="54">
        <f>ROUND(2.67*0.872,3)</f>
        <v>2.328</v>
      </c>
    </row>
    <row r="17" spans="1:11" ht="33.75" customHeight="1" thickBot="1">
      <c r="A17" s="70"/>
      <c r="B17" s="72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82" t="s">
        <v>18</v>
      </c>
      <c r="B18" s="84" t="s">
        <v>26</v>
      </c>
      <c r="C18" s="6" t="s">
        <v>3</v>
      </c>
      <c r="D18" s="29">
        <f t="shared" si="0"/>
        <v>242.241152</v>
      </c>
      <c r="E18" s="21"/>
      <c r="F18" s="21"/>
      <c r="G18" s="52">
        <f>1892.509*0.128</f>
        <v>242.241152</v>
      </c>
      <c r="H18" s="21"/>
      <c r="I18" s="29">
        <f t="shared" si="1"/>
        <v>0.342</v>
      </c>
      <c r="J18" s="21"/>
      <c r="K18" s="22">
        <f>ROUND(2.67*0.128,3)</f>
        <v>0.342</v>
      </c>
    </row>
    <row r="19" spans="1:11" ht="32.25" customHeight="1" thickBot="1">
      <c r="A19" s="83"/>
      <c r="B19" s="85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70" t="s">
        <v>19</v>
      </c>
      <c r="B20" s="72" t="s">
        <v>22</v>
      </c>
      <c r="C20" s="5" t="s">
        <v>3</v>
      </c>
      <c r="D20" s="33">
        <f t="shared" si="0"/>
        <v>1291.0300000000002</v>
      </c>
      <c r="E20" s="40">
        <v>1038.871</v>
      </c>
      <c r="F20" s="24"/>
      <c r="G20" s="41">
        <v>252.159</v>
      </c>
      <c r="H20" s="24"/>
      <c r="I20" s="33">
        <f t="shared" si="1"/>
        <v>1.823</v>
      </c>
      <c r="J20" s="41">
        <v>1.459</v>
      </c>
      <c r="K20" s="25">
        <v>0.364</v>
      </c>
    </row>
    <row r="21" spans="1:11" ht="30" customHeight="1" thickBot="1">
      <c r="A21" s="71"/>
      <c r="B21" s="73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74" t="s">
        <v>28</v>
      </c>
      <c r="B22" s="76" t="s">
        <v>29</v>
      </c>
      <c r="C22" s="5" t="s">
        <v>3</v>
      </c>
      <c r="D22" s="33">
        <f t="shared" si="0"/>
        <v>9939.596</v>
      </c>
      <c r="E22" s="40">
        <v>8252.944</v>
      </c>
      <c r="F22" s="24"/>
      <c r="G22" s="55">
        <v>1686.652</v>
      </c>
      <c r="H22" s="24"/>
      <c r="I22" s="33">
        <f aca="true" t="shared" si="2" ref="I22:I27">SUM(J22:K22)</f>
        <v>0</v>
      </c>
      <c r="J22" s="41"/>
      <c r="K22" s="25"/>
    </row>
    <row r="23" spans="1:11" ht="30.75" customHeight="1" thickBot="1">
      <c r="A23" s="75"/>
      <c r="B23" s="77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 t="shared" si="2"/>
        <v>0</v>
      </c>
      <c r="J23" s="27"/>
      <c r="K23" s="32"/>
    </row>
    <row r="24" spans="1:11" ht="21" customHeight="1">
      <c r="A24" s="74" t="s">
        <v>30</v>
      </c>
      <c r="B24" s="76" t="s">
        <v>31</v>
      </c>
      <c r="C24" s="42" t="s">
        <v>3</v>
      </c>
      <c r="D24" s="33">
        <f>SUM(E24:H24)</f>
        <v>1282.656</v>
      </c>
      <c r="E24" s="40"/>
      <c r="F24" s="24"/>
      <c r="G24" s="40">
        <v>1282.656</v>
      </c>
      <c r="H24" s="24"/>
      <c r="I24" s="33">
        <f t="shared" si="2"/>
        <v>1.811</v>
      </c>
      <c r="J24" s="41"/>
      <c r="K24" s="25">
        <v>1.811</v>
      </c>
    </row>
    <row r="25" spans="1:11" ht="30.75" customHeight="1" thickBot="1">
      <c r="A25" s="75"/>
      <c r="B25" s="77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 t="shared" si="2"/>
        <v>0</v>
      </c>
      <c r="J25" s="27"/>
      <c r="K25" s="32"/>
    </row>
    <row r="26" spans="1:11" ht="21" customHeight="1">
      <c r="A26" s="74" t="s">
        <v>39</v>
      </c>
      <c r="B26" s="76" t="s">
        <v>40</v>
      </c>
      <c r="C26" s="42" t="s">
        <v>3</v>
      </c>
      <c r="D26" s="33">
        <f>SUM(E26:H26)</f>
        <v>0</v>
      </c>
      <c r="E26" s="40"/>
      <c r="F26" s="24"/>
      <c r="G26" s="40"/>
      <c r="H26" s="24"/>
      <c r="I26" s="33">
        <f t="shared" si="2"/>
        <v>0</v>
      </c>
      <c r="J26" s="41"/>
      <c r="K26" s="25"/>
    </row>
    <row r="27" spans="1:11" ht="30.75" customHeight="1" thickBot="1">
      <c r="A27" s="75"/>
      <c r="B27" s="77"/>
      <c r="C27" s="43" t="s">
        <v>4</v>
      </c>
      <c r="D27" s="30">
        <f>SUM(E27:H27)</f>
        <v>0</v>
      </c>
      <c r="E27" s="27"/>
      <c r="F27" s="27"/>
      <c r="G27" s="27"/>
      <c r="H27" s="31"/>
      <c r="I27" s="44">
        <f t="shared" si="2"/>
        <v>0</v>
      </c>
      <c r="J27" s="27"/>
      <c r="K27" s="32"/>
    </row>
  </sheetData>
  <sheetProtection/>
  <mergeCells count="31">
    <mergeCell ref="A26:A27"/>
    <mergeCell ref="B26:B27"/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  <mergeCell ref="A6:A7"/>
    <mergeCell ref="B6:B7"/>
    <mergeCell ref="A8:A9"/>
    <mergeCell ref="B8:B9"/>
    <mergeCell ref="A10:A13"/>
    <mergeCell ref="B10:B11"/>
    <mergeCell ref="B12:B13"/>
    <mergeCell ref="A14:A15"/>
    <mergeCell ref="B14:B15"/>
    <mergeCell ref="A16:A17"/>
    <mergeCell ref="B16:B17"/>
    <mergeCell ref="A24:A25"/>
    <mergeCell ref="B24:B25"/>
    <mergeCell ref="A18:A19"/>
    <mergeCell ref="B18:B19"/>
    <mergeCell ref="A20:A21"/>
    <mergeCell ref="B20:B21"/>
    <mergeCell ref="A22:A23"/>
    <mergeCell ref="B22:B23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zoomScale="85" zoomScaleNormal="85" zoomScalePageLayoutView="0" workbookViewId="0" topLeftCell="A1">
      <selection activeCell="G14" sqref="G14"/>
    </sheetView>
  </sheetViews>
  <sheetFormatPr defaultColWidth="8.8515625" defaultRowHeight="15"/>
  <cols>
    <col min="1" max="1" width="19.710937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92" t="s">
        <v>5</v>
      </c>
      <c r="B1" s="93"/>
      <c r="C1" s="93"/>
      <c r="D1" s="93"/>
      <c r="E1" s="93"/>
      <c r="F1" s="93"/>
      <c r="G1" s="93"/>
      <c r="H1" s="93"/>
      <c r="I1" s="93"/>
      <c r="J1" s="93"/>
      <c r="K1" s="94"/>
    </row>
    <row r="2" spans="1:11" ht="25.5" customHeight="1" thickBot="1">
      <c r="A2" s="28" t="s">
        <v>41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95" t="s">
        <v>13</v>
      </c>
      <c r="B3" s="98" t="s">
        <v>6</v>
      </c>
      <c r="C3" s="98" t="s">
        <v>8</v>
      </c>
      <c r="D3" s="101" t="s">
        <v>7</v>
      </c>
      <c r="E3" s="102"/>
      <c r="F3" s="102"/>
      <c r="G3" s="102"/>
      <c r="H3" s="103"/>
      <c r="I3" s="101" t="s">
        <v>27</v>
      </c>
      <c r="J3" s="102"/>
      <c r="K3" s="104"/>
    </row>
    <row r="4" spans="1:11" ht="18.75" customHeight="1">
      <c r="A4" s="96"/>
      <c r="B4" s="99"/>
      <c r="C4" s="99"/>
      <c r="D4" s="105" t="s">
        <v>10</v>
      </c>
      <c r="E4" s="107" t="s">
        <v>11</v>
      </c>
      <c r="F4" s="108"/>
      <c r="G4" s="109"/>
      <c r="H4" s="64"/>
      <c r="I4" s="110" t="s">
        <v>10</v>
      </c>
      <c r="J4" s="110" t="s">
        <v>11</v>
      </c>
      <c r="K4" s="112"/>
    </row>
    <row r="5" spans="1:11" ht="19.5" customHeight="1" thickBot="1">
      <c r="A5" s="97"/>
      <c r="B5" s="100"/>
      <c r="C5" s="100"/>
      <c r="D5" s="106"/>
      <c r="E5" s="3" t="s">
        <v>0</v>
      </c>
      <c r="F5" s="3" t="s">
        <v>9</v>
      </c>
      <c r="G5" s="4" t="s">
        <v>1</v>
      </c>
      <c r="H5" s="4" t="s">
        <v>2</v>
      </c>
      <c r="I5" s="111"/>
      <c r="J5" s="16" t="s">
        <v>0</v>
      </c>
      <c r="K5" s="19" t="s">
        <v>23</v>
      </c>
    </row>
    <row r="6" spans="1:11" ht="19.5" customHeight="1">
      <c r="A6" s="82" t="s">
        <v>14</v>
      </c>
      <c r="B6" s="79" t="s">
        <v>12</v>
      </c>
      <c r="C6" s="6" t="s">
        <v>3</v>
      </c>
      <c r="D6" s="29">
        <f aca="true" t="shared" si="0" ref="D6:D23">SUM(E6:H6)</f>
        <v>0</v>
      </c>
      <c r="E6" s="52"/>
      <c r="F6" s="52"/>
      <c r="G6" s="51">
        <v>0</v>
      </c>
      <c r="H6" s="51"/>
      <c r="I6" s="29">
        <f aca="true" t="shared" si="1" ref="I6:I27">SUM(J6:K6)</f>
        <v>0</v>
      </c>
      <c r="J6" s="62"/>
      <c r="K6" s="63"/>
    </row>
    <row r="7" spans="1:11" ht="33.75" customHeight="1" thickBot="1">
      <c r="A7" s="83"/>
      <c r="B7" s="80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82" t="s">
        <v>15</v>
      </c>
      <c r="B8" s="79" t="s">
        <v>20</v>
      </c>
      <c r="C8" s="6" t="s">
        <v>3</v>
      </c>
      <c r="D8" s="29">
        <f t="shared" si="0"/>
        <v>0</v>
      </c>
      <c r="E8" s="52">
        <v>0</v>
      </c>
      <c r="F8" s="21"/>
      <c r="G8" s="21">
        <v>0</v>
      </c>
      <c r="H8" s="21"/>
      <c r="I8" s="29">
        <f t="shared" si="1"/>
        <v>0</v>
      </c>
      <c r="J8" s="21">
        <v>0</v>
      </c>
      <c r="K8" s="22">
        <v>0</v>
      </c>
    </row>
    <row r="9" spans="1:11" ht="32.25" customHeight="1" thickBot="1">
      <c r="A9" s="86"/>
      <c r="B9" s="87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82" t="s">
        <v>16</v>
      </c>
      <c r="B10" s="89" t="s">
        <v>24</v>
      </c>
      <c r="C10" s="6" t="s">
        <v>3</v>
      </c>
      <c r="D10" s="29">
        <f>SUM(E10:H10)</f>
        <v>10282.260999999999</v>
      </c>
      <c r="E10" s="21">
        <v>10103.211</v>
      </c>
      <c r="F10" s="21">
        <v>178.375</v>
      </c>
      <c r="G10" s="21">
        <v>0.675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88"/>
      <c r="B11" s="90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8"/>
      <c r="B12" s="91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83"/>
      <c r="B13" s="73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78" t="s">
        <v>17</v>
      </c>
      <c r="B14" s="79" t="s">
        <v>21</v>
      </c>
      <c r="C14" s="6" t="s">
        <v>3</v>
      </c>
      <c r="D14" s="29">
        <f t="shared" si="0"/>
        <v>646.109</v>
      </c>
      <c r="E14" s="21"/>
      <c r="F14" s="21"/>
      <c r="G14" s="53">
        <v>646.109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71"/>
      <c r="B15" s="80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78" t="s">
        <v>18</v>
      </c>
      <c r="B16" s="81" t="s">
        <v>22</v>
      </c>
      <c r="C16" s="6" t="s">
        <v>3</v>
      </c>
      <c r="D16" s="29">
        <f t="shared" si="0"/>
        <v>3460.475864</v>
      </c>
      <c r="E16" s="52">
        <v>1842.84</v>
      </c>
      <c r="F16" s="21"/>
      <c r="G16" s="52">
        <f>1855.087*0.872</f>
        <v>1617.635864</v>
      </c>
      <c r="H16" s="21"/>
      <c r="I16" s="29">
        <f t="shared" si="1"/>
        <v>4.846</v>
      </c>
      <c r="J16" s="21">
        <v>2.581</v>
      </c>
      <c r="K16" s="54">
        <f>ROUND(2.597*0.872,3)</f>
        <v>2.265</v>
      </c>
    </row>
    <row r="17" spans="1:11" ht="33.75" customHeight="1" thickBot="1">
      <c r="A17" s="70"/>
      <c r="B17" s="72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82" t="s">
        <v>18</v>
      </c>
      <c r="B18" s="84" t="s">
        <v>26</v>
      </c>
      <c r="C18" s="6" t="s">
        <v>3</v>
      </c>
      <c r="D18" s="29">
        <f t="shared" si="0"/>
        <v>237.451136</v>
      </c>
      <c r="E18" s="21"/>
      <c r="F18" s="21"/>
      <c r="G18" s="52">
        <f>1855.087*0.128</f>
        <v>237.451136</v>
      </c>
      <c r="H18" s="21"/>
      <c r="I18" s="29">
        <f t="shared" si="1"/>
        <v>0.332</v>
      </c>
      <c r="J18" s="21"/>
      <c r="K18" s="22">
        <f>ROUND(2.597*0.128,3)</f>
        <v>0.332</v>
      </c>
    </row>
    <row r="19" spans="1:11" ht="32.25" customHeight="1" thickBot="1">
      <c r="A19" s="83"/>
      <c r="B19" s="85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70" t="s">
        <v>19</v>
      </c>
      <c r="B20" s="72" t="s">
        <v>22</v>
      </c>
      <c r="C20" s="5" t="s">
        <v>3</v>
      </c>
      <c r="D20" s="33">
        <f t="shared" si="0"/>
        <v>1311.3243999999997</v>
      </c>
      <c r="E20" s="40">
        <v>1050.5783999999996</v>
      </c>
      <c r="F20" s="24"/>
      <c r="G20" s="41">
        <v>260.74600000000004</v>
      </c>
      <c r="H20" s="24"/>
      <c r="I20" s="33">
        <f t="shared" si="1"/>
        <v>1.874504347826087</v>
      </c>
      <c r="J20" s="41">
        <v>1.4785043478260869</v>
      </c>
      <c r="K20" s="25">
        <v>0.396</v>
      </c>
    </row>
    <row r="21" spans="1:11" ht="30" customHeight="1" thickBot="1">
      <c r="A21" s="71"/>
      <c r="B21" s="73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74" t="s">
        <v>28</v>
      </c>
      <c r="B22" s="76" t="s">
        <v>29</v>
      </c>
      <c r="C22" s="5" t="s">
        <v>3</v>
      </c>
      <c r="D22" s="33">
        <f t="shared" si="0"/>
        <v>10401.269</v>
      </c>
      <c r="E22" s="40">
        <v>8846.814</v>
      </c>
      <c r="F22" s="24"/>
      <c r="G22" s="55">
        <v>1554.455</v>
      </c>
      <c r="H22" s="24"/>
      <c r="I22" s="33">
        <f t="shared" si="1"/>
        <v>0</v>
      </c>
      <c r="J22" s="41"/>
      <c r="K22" s="25"/>
    </row>
    <row r="23" spans="1:11" ht="30.75" customHeight="1" thickBot="1">
      <c r="A23" s="75"/>
      <c r="B23" s="77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 t="shared" si="1"/>
        <v>0</v>
      </c>
      <c r="J23" s="27"/>
      <c r="K23" s="32"/>
    </row>
    <row r="24" spans="1:11" ht="21" customHeight="1">
      <c r="A24" s="74" t="s">
        <v>30</v>
      </c>
      <c r="B24" s="76" t="s">
        <v>31</v>
      </c>
      <c r="C24" s="42" t="s">
        <v>3</v>
      </c>
      <c r="D24" s="33">
        <f>SUM(E24:H24)</f>
        <v>1276.825</v>
      </c>
      <c r="E24" s="40"/>
      <c r="F24" s="24"/>
      <c r="G24" s="40">
        <v>1276.825</v>
      </c>
      <c r="H24" s="24"/>
      <c r="I24" s="33">
        <f t="shared" si="1"/>
        <v>1.804</v>
      </c>
      <c r="J24" s="41"/>
      <c r="K24" s="25">
        <v>1.804</v>
      </c>
    </row>
    <row r="25" spans="1:11" ht="30.75" customHeight="1" thickBot="1">
      <c r="A25" s="75"/>
      <c r="B25" s="77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 t="shared" si="1"/>
        <v>0</v>
      </c>
      <c r="J25" s="27"/>
      <c r="K25" s="32"/>
    </row>
    <row r="26" spans="1:11" ht="21" customHeight="1">
      <c r="A26" s="74" t="s">
        <v>39</v>
      </c>
      <c r="B26" s="76" t="s">
        <v>40</v>
      </c>
      <c r="C26" s="42" t="s">
        <v>3</v>
      </c>
      <c r="D26" s="33">
        <f>SUM(E26:H26)</f>
        <v>0</v>
      </c>
      <c r="E26" s="40"/>
      <c r="F26" s="24"/>
      <c r="G26" s="40"/>
      <c r="H26" s="24"/>
      <c r="I26" s="33">
        <f t="shared" si="1"/>
        <v>0</v>
      </c>
      <c r="J26" s="41"/>
      <c r="K26" s="25"/>
    </row>
    <row r="27" spans="1:11" ht="30.75" customHeight="1" thickBot="1">
      <c r="A27" s="75"/>
      <c r="B27" s="77"/>
      <c r="C27" s="43" t="s">
        <v>4</v>
      </c>
      <c r="D27" s="30">
        <f>SUM(E27:H27)</f>
        <v>0</v>
      </c>
      <c r="E27" s="27"/>
      <c r="F27" s="27"/>
      <c r="G27" s="27"/>
      <c r="H27" s="31"/>
      <c r="I27" s="44">
        <f t="shared" si="1"/>
        <v>0</v>
      </c>
      <c r="J27" s="27"/>
      <c r="K27" s="32"/>
    </row>
  </sheetData>
  <sheetProtection/>
  <mergeCells count="31">
    <mergeCell ref="A26:A27"/>
    <mergeCell ref="B26:B27"/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6:A7"/>
    <mergeCell ref="B6:B7"/>
    <mergeCell ref="A8:A9"/>
    <mergeCell ref="B8:B9"/>
    <mergeCell ref="A10:A13"/>
    <mergeCell ref="B10:B11"/>
    <mergeCell ref="B12:B13"/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zoomScale="85" zoomScaleNormal="85" zoomScalePageLayoutView="0" workbookViewId="0" topLeftCell="A1">
      <selection activeCell="E10" sqref="E10:H10"/>
    </sheetView>
  </sheetViews>
  <sheetFormatPr defaultColWidth="8.8515625" defaultRowHeight="15"/>
  <cols>
    <col min="1" max="1" width="19.710937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92" t="s">
        <v>5</v>
      </c>
      <c r="B1" s="93"/>
      <c r="C1" s="93"/>
      <c r="D1" s="93"/>
      <c r="E1" s="93"/>
      <c r="F1" s="93"/>
      <c r="G1" s="93"/>
      <c r="H1" s="93"/>
      <c r="I1" s="93"/>
      <c r="J1" s="93"/>
      <c r="K1" s="94"/>
    </row>
    <row r="2" spans="1:11" ht="25.5" customHeight="1" thickBot="1">
      <c r="A2" s="28" t="s">
        <v>42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95" t="s">
        <v>13</v>
      </c>
      <c r="B3" s="98" t="s">
        <v>6</v>
      </c>
      <c r="C3" s="98" t="s">
        <v>8</v>
      </c>
      <c r="D3" s="101" t="s">
        <v>7</v>
      </c>
      <c r="E3" s="102"/>
      <c r="F3" s="102"/>
      <c r="G3" s="102"/>
      <c r="H3" s="103"/>
      <c r="I3" s="101" t="s">
        <v>27</v>
      </c>
      <c r="J3" s="102"/>
      <c r="K3" s="104"/>
    </row>
    <row r="4" spans="1:11" ht="18.75" customHeight="1">
      <c r="A4" s="96"/>
      <c r="B4" s="99"/>
      <c r="C4" s="99"/>
      <c r="D4" s="105" t="s">
        <v>10</v>
      </c>
      <c r="E4" s="107" t="s">
        <v>11</v>
      </c>
      <c r="F4" s="108"/>
      <c r="G4" s="109"/>
      <c r="H4" s="65"/>
      <c r="I4" s="110" t="s">
        <v>10</v>
      </c>
      <c r="J4" s="110" t="s">
        <v>11</v>
      </c>
      <c r="K4" s="112"/>
    </row>
    <row r="5" spans="1:11" ht="19.5" customHeight="1" thickBot="1">
      <c r="A5" s="97"/>
      <c r="B5" s="100"/>
      <c r="C5" s="100"/>
      <c r="D5" s="106"/>
      <c r="E5" s="3" t="s">
        <v>0</v>
      </c>
      <c r="F5" s="3" t="s">
        <v>9</v>
      </c>
      <c r="G5" s="4" t="s">
        <v>1</v>
      </c>
      <c r="H5" s="4" t="s">
        <v>2</v>
      </c>
      <c r="I5" s="111"/>
      <c r="J5" s="16" t="s">
        <v>0</v>
      </c>
      <c r="K5" s="19" t="s">
        <v>23</v>
      </c>
    </row>
    <row r="6" spans="1:11" ht="19.5" customHeight="1">
      <c r="A6" s="82" t="s">
        <v>14</v>
      </c>
      <c r="B6" s="79" t="s">
        <v>12</v>
      </c>
      <c r="C6" s="6" t="s">
        <v>3</v>
      </c>
      <c r="D6" s="29">
        <f aca="true" t="shared" si="0" ref="D6:D23">SUM(E6:H6)</f>
        <v>0</v>
      </c>
      <c r="E6" s="52"/>
      <c r="F6" s="52"/>
      <c r="G6" s="51">
        <v>0</v>
      </c>
      <c r="H6" s="51"/>
      <c r="I6" s="29">
        <f aca="true" t="shared" si="1" ref="I6:I27">SUM(J6:K6)</f>
        <v>0</v>
      </c>
      <c r="J6" s="62"/>
      <c r="K6" s="63"/>
    </row>
    <row r="7" spans="1:11" ht="33.75" customHeight="1" thickBot="1">
      <c r="A7" s="83"/>
      <c r="B7" s="80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82" t="s">
        <v>15</v>
      </c>
      <c r="B8" s="79" t="s">
        <v>20</v>
      </c>
      <c r="C8" s="6" t="s">
        <v>3</v>
      </c>
      <c r="D8" s="29">
        <f t="shared" si="0"/>
        <v>0</v>
      </c>
      <c r="E8" s="52">
        <v>0</v>
      </c>
      <c r="F8" s="21"/>
      <c r="G8" s="21">
        <v>0</v>
      </c>
      <c r="H8" s="21"/>
      <c r="I8" s="29">
        <f t="shared" si="1"/>
        <v>0</v>
      </c>
      <c r="J8" s="21">
        <v>0</v>
      </c>
      <c r="K8" s="22">
        <v>0</v>
      </c>
    </row>
    <row r="9" spans="1:11" ht="32.25" customHeight="1" thickBot="1">
      <c r="A9" s="86"/>
      <c r="B9" s="87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82" t="s">
        <v>16</v>
      </c>
      <c r="B10" s="89" t="s">
        <v>24</v>
      </c>
      <c r="C10" s="6" t="s">
        <v>3</v>
      </c>
      <c r="D10" s="29">
        <f>SUM(E10:H10)</f>
        <v>3138.2230000000004</v>
      </c>
      <c r="E10" s="21">
        <v>2975.126</v>
      </c>
      <c r="F10" s="21">
        <v>162.038</v>
      </c>
      <c r="G10" s="21">
        <v>1.059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88"/>
      <c r="B11" s="90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8"/>
      <c r="B12" s="91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83"/>
      <c r="B13" s="73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78" t="s">
        <v>17</v>
      </c>
      <c r="B14" s="79" t="s">
        <v>21</v>
      </c>
      <c r="C14" s="6" t="s">
        <v>3</v>
      </c>
      <c r="D14" s="29">
        <f t="shared" si="0"/>
        <v>582.1650000000001</v>
      </c>
      <c r="E14" s="21"/>
      <c r="F14" s="21"/>
      <c r="G14" s="53">
        <f>581.719+0.446</f>
        <v>582.1650000000001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71"/>
      <c r="B15" s="80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78" t="s">
        <v>18</v>
      </c>
      <c r="B16" s="81" t="s">
        <v>22</v>
      </c>
      <c r="C16" s="6" t="s">
        <v>3</v>
      </c>
      <c r="D16" s="29">
        <f t="shared" si="0"/>
        <v>3182.659808</v>
      </c>
      <c r="E16" s="52">
        <v>1664.234</v>
      </c>
      <c r="F16" s="21"/>
      <c r="G16" s="52">
        <f>1741.314*0.872</f>
        <v>1518.425808</v>
      </c>
      <c r="H16" s="21"/>
      <c r="I16" s="29">
        <f t="shared" si="1"/>
        <v>4.541</v>
      </c>
      <c r="J16" s="21">
        <v>2.372</v>
      </c>
      <c r="K16" s="54">
        <f>ROUND(2.487*0.872,3)</f>
        <v>2.169</v>
      </c>
    </row>
    <row r="17" spans="1:11" ht="33.75" customHeight="1" thickBot="1">
      <c r="A17" s="70"/>
      <c r="B17" s="72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82" t="s">
        <v>18</v>
      </c>
      <c r="B18" s="84" t="s">
        <v>26</v>
      </c>
      <c r="C18" s="6" t="s">
        <v>3</v>
      </c>
      <c r="D18" s="29">
        <f t="shared" si="0"/>
        <v>222.888192</v>
      </c>
      <c r="E18" s="21"/>
      <c r="F18" s="21"/>
      <c r="G18" s="52">
        <f>1741.314*0.128</f>
        <v>222.888192</v>
      </c>
      <c r="H18" s="21"/>
      <c r="I18" s="29">
        <f t="shared" si="1"/>
        <v>0.318</v>
      </c>
      <c r="J18" s="21"/>
      <c r="K18" s="22">
        <f>ROUND(2.487*0.128,3)</f>
        <v>0.318</v>
      </c>
    </row>
    <row r="19" spans="1:11" ht="32.25" customHeight="1" thickBot="1">
      <c r="A19" s="83"/>
      <c r="B19" s="85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70" t="s">
        <v>19</v>
      </c>
      <c r="B20" s="72" t="s">
        <v>22</v>
      </c>
      <c r="C20" s="5" t="s">
        <v>3</v>
      </c>
      <c r="D20" s="33">
        <f t="shared" si="0"/>
        <v>1222.106</v>
      </c>
      <c r="E20" s="40">
        <v>963.488</v>
      </c>
      <c r="F20" s="24"/>
      <c r="G20" s="41">
        <v>258.618</v>
      </c>
      <c r="H20" s="24"/>
      <c r="I20" s="33">
        <f t="shared" si="1"/>
        <v>1.741</v>
      </c>
      <c r="J20" s="41">
        <v>1.373</v>
      </c>
      <c r="K20" s="25">
        <v>0.368</v>
      </c>
    </row>
    <row r="21" spans="1:11" ht="30" customHeight="1" thickBot="1">
      <c r="A21" s="71"/>
      <c r="B21" s="73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74" t="s">
        <v>28</v>
      </c>
      <c r="B22" s="76" t="s">
        <v>29</v>
      </c>
      <c r="C22" s="5" t="s">
        <v>3</v>
      </c>
      <c r="D22" s="33">
        <f t="shared" si="0"/>
        <v>10510.59</v>
      </c>
      <c r="E22" s="40">
        <v>8994.663</v>
      </c>
      <c r="F22" s="24"/>
      <c r="G22" s="40">
        <v>1515.927</v>
      </c>
      <c r="H22" s="24"/>
      <c r="I22" s="33">
        <f t="shared" si="1"/>
        <v>0</v>
      </c>
      <c r="J22" s="41"/>
      <c r="K22" s="25"/>
    </row>
    <row r="23" spans="1:11" ht="30.75" customHeight="1" thickBot="1">
      <c r="A23" s="75"/>
      <c r="B23" s="77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 t="shared" si="1"/>
        <v>0</v>
      </c>
      <c r="J23" s="27"/>
      <c r="K23" s="32"/>
    </row>
    <row r="24" spans="1:11" ht="21" customHeight="1">
      <c r="A24" s="74" t="s">
        <v>30</v>
      </c>
      <c r="B24" s="76" t="s">
        <v>31</v>
      </c>
      <c r="C24" s="42" t="s">
        <v>3</v>
      </c>
      <c r="D24" s="33">
        <f>SUM(E24:H24)</f>
        <v>1192.931</v>
      </c>
      <c r="E24" s="40"/>
      <c r="F24" s="24"/>
      <c r="G24" s="40">
        <v>1192.931</v>
      </c>
      <c r="H24" s="24"/>
      <c r="I24" s="33">
        <f t="shared" si="1"/>
        <v>1.709</v>
      </c>
      <c r="J24" s="41"/>
      <c r="K24" s="25">
        <v>1.709</v>
      </c>
    </row>
    <row r="25" spans="1:11" ht="30.75" customHeight="1" thickBot="1">
      <c r="A25" s="75"/>
      <c r="B25" s="77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 t="shared" si="1"/>
        <v>0</v>
      </c>
      <c r="J25" s="27"/>
      <c r="K25" s="32"/>
    </row>
    <row r="26" spans="1:11" ht="21" customHeight="1">
      <c r="A26" s="74" t="s">
        <v>39</v>
      </c>
      <c r="B26" s="76" t="s">
        <v>40</v>
      </c>
      <c r="C26" s="42" t="s">
        <v>3</v>
      </c>
      <c r="D26" s="33">
        <f>SUM(E26:H26)</f>
        <v>0</v>
      </c>
      <c r="E26" s="40"/>
      <c r="F26" s="24"/>
      <c r="G26" s="40"/>
      <c r="H26" s="24"/>
      <c r="I26" s="33">
        <f t="shared" si="1"/>
        <v>0</v>
      </c>
      <c r="J26" s="41"/>
      <c r="K26" s="25"/>
    </row>
    <row r="27" spans="1:11" ht="30.75" customHeight="1" thickBot="1">
      <c r="A27" s="75"/>
      <c r="B27" s="77"/>
      <c r="C27" s="43" t="s">
        <v>4</v>
      </c>
      <c r="D27" s="30">
        <f>SUM(E27:H27)</f>
        <v>0</v>
      </c>
      <c r="E27" s="27"/>
      <c r="F27" s="27"/>
      <c r="G27" s="27"/>
      <c r="H27" s="31"/>
      <c r="I27" s="44">
        <f t="shared" si="1"/>
        <v>0</v>
      </c>
      <c r="J27" s="27"/>
      <c r="K27" s="32"/>
    </row>
  </sheetData>
  <sheetProtection/>
  <mergeCells count="31">
    <mergeCell ref="A26:A27"/>
    <mergeCell ref="B26:B27"/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6:A7"/>
    <mergeCell ref="B6:B7"/>
    <mergeCell ref="A8:A9"/>
    <mergeCell ref="B8:B9"/>
    <mergeCell ref="A10:A13"/>
    <mergeCell ref="B10:B11"/>
    <mergeCell ref="B12:B13"/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2020-03-05T11:11:30Z</cp:lastPrinted>
  <dcterms:created xsi:type="dcterms:W3CDTF">2010-10-28T06:49:01Z</dcterms:created>
  <dcterms:modified xsi:type="dcterms:W3CDTF">2023-01-09T13:36:25Z</dcterms:modified>
  <cp:category/>
  <cp:version/>
  <cp:contentType/>
  <cp:contentStatus/>
</cp:coreProperties>
</file>